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7" yWindow="103" windowWidth="16294" windowHeight="5760"/>
  </bookViews>
  <sheets>
    <sheet name="1º TRIMESTRE" sheetId="1" r:id="rId1"/>
    <sheet name="Plan2" sheetId="2" r:id="rId2"/>
    <sheet name="Plan3" sheetId="3" r:id="rId3"/>
  </sheets>
  <definedNames>
    <definedName name="_xlnm._FilterDatabase" localSheetId="0" hidden="1">'1º TRIMESTRE'!$A$7:$DL$118</definedName>
    <definedName name="_xlnm.Print_Area" localSheetId="0">'1º TRIMESTRE'!$A$1:$V$118</definedName>
    <definedName name="_xlnm.Print_Titles" localSheetId="0">'1º TRIMESTRE'!$1:$7</definedName>
  </definedNames>
  <calcPr calcId="124519"/>
</workbook>
</file>

<file path=xl/calcChain.xml><?xml version="1.0" encoding="utf-8"?>
<calcChain xmlns="http://schemas.openxmlformats.org/spreadsheetml/2006/main">
  <c r="X82" i="1"/>
  <c r="U72"/>
  <c r="X72"/>
  <c r="X75"/>
  <c r="U75"/>
  <c r="U64"/>
  <c r="U40"/>
  <c r="X37"/>
  <c r="U37"/>
  <c r="X9"/>
  <c r="X19"/>
  <c r="X60"/>
  <c r="U48"/>
  <c r="U54"/>
  <c r="U60"/>
  <c r="U27"/>
  <c r="U25"/>
  <c r="U17"/>
  <c r="X14"/>
  <c r="X13"/>
  <c r="X12"/>
  <c r="U74"/>
  <c r="X92"/>
  <c r="X101"/>
  <c r="U103"/>
  <c r="U102"/>
  <c r="U101"/>
  <c r="U43"/>
  <c r="U90"/>
  <c r="U105"/>
  <c r="U106"/>
  <c r="U107"/>
  <c r="U108"/>
  <c r="U109"/>
  <c r="U110"/>
  <c r="U111"/>
  <c r="U112"/>
  <c r="U113"/>
  <c r="U114"/>
  <c r="U115"/>
  <c r="U116"/>
  <c r="U117"/>
  <c r="U11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U68"/>
  <c r="U59"/>
  <c r="U53"/>
  <c r="U36"/>
  <c r="U24"/>
  <c r="U94"/>
  <c r="U85"/>
  <c r="U50"/>
  <c r="U49"/>
  <c r="U45"/>
  <c r="U52"/>
  <c r="U98"/>
  <c r="U92"/>
  <c r="U89"/>
  <c r="U69"/>
  <c r="U66"/>
  <c r="U44"/>
  <c r="U35"/>
  <c r="U93"/>
  <c r="U104"/>
  <c r="U91"/>
  <c r="U84"/>
  <c r="U58"/>
  <c r="U55"/>
  <c r="U41"/>
  <c r="U33"/>
  <c r="U20"/>
  <c r="U15"/>
  <c r="U79"/>
  <c r="U97"/>
  <c r="U100"/>
  <c r="U73"/>
  <c r="U71"/>
  <c r="U65"/>
  <c r="U47"/>
  <c r="U46"/>
  <c r="U38"/>
  <c r="U82"/>
  <c r="U77"/>
  <c r="U76"/>
  <c r="U31"/>
  <c r="U23"/>
  <c r="U9"/>
  <c r="U81"/>
  <c r="U63"/>
  <c r="U62"/>
  <c r="U96"/>
  <c r="U67"/>
  <c r="U29"/>
  <c r="U14"/>
  <c r="U13"/>
  <c r="U12"/>
  <c r="U11"/>
  <c r="U10"/>
  <c r="U8"/>
  <c r="T8"/>
  <c r="U51"/>
  <c r="U42"/>
  <c r="U99"/>
  <c r="U83"/>
  <c r="U80"/>
  <c r="U78"/>
  <c r="U39"/>
  <c r="U30"/>
  <c r="U18"/>
  <c r="U87"/>
  <c r="U86"/>
  <c r="U95"/>
  <c r="U88"/>
  <c r="U70"/>
  <c r="U61"/>
  <c r="U56"/>
  <c r="U34"/>
  <c r="U26"/>
  <c r="U22"/>
  <c r="U19"/>
  <c r="W16" l="1"/>
  <c r="Y16" s="1"/>
  <c r="W21"/>
  <c r="Y21" s="1"/>
  <c r="W23"/>
  <c r="Y23" s="1"/>
  <c r="W28"/>
  <c r="Y28" s="1"/>
  <c r="W32"/>
  <c r="Y32" s="1"/>
  <c r="W34"/>
  <c r="Y34" s="1"/>
  <c r="W41"/>
  <c r="Y41" s="1"/>
  <c r="W44"/>
  <c r="Y44" s="1"/>
  <c r="W51"/>
  <c r="Y51" s="1"/>
  <c r="W54"/>
  <c r="Y54" s="1"/>
  <c r="W55"/>
  <c r="Y55" s="1"/>
  <c r="W57"/>
  <c r="Y57" s="1"/>
  <c r="W78"/>
  <c r="Y78" s="1"/>
  <c r="W80"/>
  <c r="Y80" s="1"/>
  <c r="W82"/>
  <c r="Y82" s="1"/>
  <c r="W105"/>
  <c r="Y105" s="1"/>
  <c r="Z105"/>
  <c r="W106"/>
  <c r="Y106" s="1"/>
  <c r="W107"/>
  <c r="Y107" s="1"/>
  <c r="W108"/>
  <c r="Y108" s="1"/>
  <c r="W109"/>
  <c r="Y109" s="1"/>
  <c r="W110"/>
  <c r="Y110" s="1"/>
  <c r="W111"/>
  <c r="Y111" s="1"/>
  <c r="W112"/>
  <c r="Y112" s="1"/>
  <c r="W113"/>
  <c r="Y113" s="1"/>
  <c r="W114"/>
  <c r="Y114" s="1"/>
  <c r="Z114"/>
  <c r="W115"/>
  <c r="Y115" s="1"/>
  <c r="W116"/>
  <c r="Y116" s="1"/>
  <c r="W117"/>
  <c r="Y117" s="1"/>
  <c r="Z117"/>
  <c r="W118"/>
  <c r="Y118" s="1"/>
  <c r="W43"/>
  <c r="Y43" s="1"/>
  <c r="W8"/>
  <c r="Y8" s="1"/>
  <c r="M118" l="1"/>
  <c r="Z118" s="1"/>
  <c r="M116"/>
  <c r="Z116" s="1"/>
  <c r="M115"/>
  <c r="Z115" s="1"/>
  <c r="M113"/>
  <c r="Z113" s="1"/>
  <c r="M112"/>
  <c r="Z112" s="1"/>
  <c r="M111"/>
  <c r="Z111" s="1"/>
  <c r="M110"/>
  <c r="Z110" s="1"/>
  <c r="M109"/>
  <c r="Z109" s="1"/>
  <c r="R104"/>
  <c r="W104" s="1"/>
  <c r="Y104" s="1"/>
  <c r="M104"/>
  <c r="Z104" s="1"/>
  <c r="R103"/>
  <c r="W103" s="1"/>
  <c r="Y103" s="1"/>
  <c r="M103"/>
  <c r="Z103" s="1"/>
  <c r="R102"/>
  <c r="W102" s="1"/>
  <c r="Y102" s="1"/>
  <c r="M102"/>
  <c r="Z102" s="1"/>
  <c r="R101"/>
  <c r="W101" s="1"/>
  <c r="Y101" s="1"/>
  <c r="M108"/>
  <c r="Z108" s="1"/>
  <c r="M107"/>
  <c r="Z107" s="1"/>
  <c r="M106"/>
  <c r="Z106" s="1"/>
  <c r="M101"/>
  <c r="Z101" s="1"/>
  <c r="R100"/>
  <c r="W100" s="1"/>
  <c r="Y100" s="1"/>
  <c r="R99"/>
  <c r="W99" s="1"/>
  <c r="Y99" s="1"/>
  <c r="R98"/>
  <c r="W98" s="1"/>
  <c r="Y98" s="1"/>
  <c r="R97"/>
  <c r="W97" s="1"/>
  <c r="Y97" s="1"/>
  <c r="R96"/>
  <c r="W96" s="1"/>
  <c r="Y96" s="1"/>
  <c r="R95"/>
  <c r="W95" s="1"/>
  <c r="Y95" s="1"/>
  <c r="R94"/>
  <c r="W94" s="1"/>
  <c r="Y94" s="1"/>
  <c r="R93"/>
  <c r="W93" s="1"/>
  <c r="Y93" s="1"/>
  <c r="R92"/>
  <c r="W92" s="1"/>
  <c r="Y92" s="1"/>
  <c r="R91"/>
  <c r="W91" s="1"/>
  <c r="Y91" s="1"/>
  <c r="R90"/>
  <c r="W90" s="1"/>
  <c r="Y90" s="1"/>
  <c r="R89"/>
  <c r="W89" s="1"/>
  <c r="Y89" s="1"/>
  <c r="O89"/>
  <c r="R88"/>
  <c r="W88" s="1"/>
  <c r="Y88" s="1"/>
  <c r="R87"/>
  <c r="W87" s="1"/>
  <c r="Y87" s="1"/>
  <c r="P87"/>
  <c r="R86"/>
  <c r="W86" s="1"/>
  <c r="Y86" s="1"/>
  <c r="P86"/>
  <c r="R85"/>
  <c r="W85" s="1"/>
  <c r="Y85" s="1"/>
  <c r="R84"/>
  <c r="W84" s="1"/>
  <c r="Y84" s="1"/>
  <c r="N84"/>
  <c r="R83"/>
  <c r="W83" s="1"/>
  <c r="Y83" s="1"/>
  <c r="O83"/>
  <c r="N83"/>
  <c r="P82"/>
  <c r="N82"/>
  <c r="R81"/>
  <c r="W81" s="1"/>
  <c r="Y81" s="1"/>
  <c r="N78"/>
  <c r="M78" s="1"/>
  <c r="Z78" s="1"/>
  <c r="N80"/>
  <c r="R79"/>
  <c r="W79" s="1"/>
  <c r="Y79" s="1"/>
  <c r="R77"/>
  <c r="W77" s="1"/>
  <c r="Y77" s="1"/>
  <c r="R76"/>
  <c r="W76" s="1"/>
  <c r="Y76" s="1"/>
  <c r="R75"/>
  <c r="W75" s="1"/>
  <c r="Y75" s="1"/>
  <c r="P75"/>
  <c r="R74"/>
  <c r="W74" s="1"/>
  <c r="Y74" s="1"/>
  <c r="R73"/>
  <c r="W73" s="1"/>
  <c r="Y73" s="1"/>
  <c r="R72"/>
  <c r="W72" s="1"/>
  <c r="Y72" s="1"/>
  <c r="R71"/>
  <c r="W71" s="1"/>
  <c r="Y71" s="1"/>
  <c r="R70"/>
  <c r="W70" s="1"/>
  <c r="Y70" s="1"/>
  <c r="N70"/>
  <c r="R69"/>
  <c r="W69" s="1"/>
  <c r="Y69" s="1"/>
  <c r="P69"/>
  <c r="R68"/>
  <c r="W68" s="1"/>
  <c r="Y68" s="1"/>
  <c r="R67"/>
  <c r="W67" s="1"/>
  <c r="Y67" s="1"/>
  <c r="N67"/>
  <c r="R66"/>
  <c r="W66" s="1"/>
  <c r="Y66" s="1"/>
  <c r="R65"/>
  <c r="W65" s="1"/>
  <c r="Y65" s="1"/>
  <c r="R64"/>
  <c r="W64" s="1"/>
  <c r="Y64" s="1"/>
  <c r="N64"/>
  <c r="R63"/>
  <c r="W63" s="1"/>
  <c r="Y63" s="1"/>
  <c r="R62"/>
  <c r="W62" s="1"/>
  <c r="Y62" s="1"/>
  <c r="R61"/>
  <c r="W61" s="1"/>
  <c r="Y61" s="1"/>
  <c r="R60"/>
  <c r="W60" s="1"/>
  <c r="Y60" s="1"/>
  <c r="R59"/>
  <c r="W59" s="1"/>
  <c r="Y59" s="1"/>
  <c r="R58"/>
  <c r="W58" s="1"/>
  <c r="Y58" s="1"/>
  <c r="R56"/>
  <c r="W56" s="1"/>
  <c r="Y56" s="1"/>
  <c r="N56"/>
  <c r="N54"/>
  <c r="R53"/>
  <c r="W53" s="1"/>
  <c r="Y53" s="1"/>
  <c r="R52"/>
  <c r="W52" s="1"/>
  <c r="Y52" s="1"/>
  <c r="N52"/>
  <c r="R50"/>
  <c r="W50" s="1"/>
  <c r="Y50" s="1"/>
  <c r="R49"/>
  <c r="W49" s="1"/>
  <c r="Y49" s="1"/>
  <c r="R48"/>
  <c r="W48" s="1"/>
  <c r="Y48" s="1"/>
  <c r="N48"/>
  <c r="R47"/>
  <c r="W47" s="1"/>
  <c r="Y47" s="1"/>
  <c r="R46"/>
  <c r="W46" s="1"/>
  <c r="Y46" s="1"/>
  <c r="R45"/>
  <c r="W45" s="1"/>
  <c r="Y45" s="1"/>
  <c r="R42"/>
  <c r="W42" s="1"/>
  <c r="Y42" s="1"/>
  <c r="R40"/>
  <c r="W40" s="1"/>
  <c r="Y40" s="1"/>
  <c r="R39"/>
  <c r="W39" s="1"/>
  <c r="Y39" s="1"/>
  <c r="R38"/>
  <c r="W38" s="1"/>
  <c r="Y38" s="1"/>
  <c r="R37"/>
  <c r="W37" s="1"/>
  <c r="Y37" s="1"/>
  <c r="R36"/>
  <c r="W36" s="1"/>
  <c r="Y36" s="1"/>
  <c r="R35"/>
  <c r="W35" s="1"/>
  <c r="Y35" s="1"/>
  <c r="R33"/>
  <c r="W33" s="1"/>
  <c r="Y33" s="1"/>
  <c r="R31"/>
  <c r="W31" s="1"/>
  <c r="Y31" s="1"/>
  <c r="O31"/>
  <c r="R30"/>
  <c r="W30" s="1"/>
  <c r="Y30" s="1"/>
  <c r="O30"/>
  <c r="R29"/>
  <c r="W29" s="1"/>
  <c r="Y29" s="1"/>
  <c r="O28"/>
  <c r="N28"/>
  <c r="M28" s="1"/>
  <c r="Z28" s="1"/>
  <c r="R27"/>
  <c r="W27" s="1"/>
  <c r="Y27" s="1"/>
  <c r="R26"/>
  <c r="W26" s="1"/>
  <c r="Y26" s="1"/>
  <c r="R25"/>
  <c r="W25" s="1"/>
  <c r="Y25" s="1"/>
  <c r="R24"/>
  <c r="W24" s="1"/>
  <c r="Y24" s="1"/>
  <c r="P22"/>
  <c r="R22"/>
  <c r="W22" s="1"/>
  <c r="Y22" s="1"/>
  <c r="R20"/>
  <c r="W20" s="1"/>
  <c r="Y20" s="1"/>
  <c r="R19"/>
  <c r="W19" s="1"/>
  <c r="Y19" s="1"/>
  <c r="R18"/>
  <c r="W18" s="1"/>
  <c r="Y18" s="1"/>
  <c r="R17"/>
  <c r="N17"/>
  <c r="M17" s="1"/>
  <c r="Z17" s="1"/>
  <c r="R15"/>
  <c r="W15" s="1"/>
  <c r="Y15" s="1"/>
  <c r="R14"/>
  <c r="W14" s="1"/>
  <c r="Y14" s="1"/>
  <c r="R13"/>
  <c r="W13" s="1"/>
  <c r="Y13" s="1"/>
  <c r="R12"/>
  <c r="W12" s="1"/>
  <c r="Y12" s="1"/>
  <c r="R11"/>
  <c r="W11" s="1"/>
  <c r="Y11" s="1"/>
  <c r="R10"/>
  <c r="W10" s="1"/>
  <c r="Y10" s="1"/>
  <c r="R9"/>
  <c r="W9" s="1"/>
  <c r="Y9" s="1"/>
  <c r="M23"/>
  <c r="Z23" s="1"/>
  <c r="M26"/>
  <c r="Z26" s="1"/>
  <c r="M41"/>
  <c r="Z41" s="1"/>
  <c r="M43"/>
  <c r="Z43" s="1"/>
  <c r="M44"/>
  <c r="Z44" s="1"/>
  <c r="M57"/>
  <c r="Z57" s="1"/>
  <c r="M60"/>
  <c r="Z60" s="1"/>
  <c r="M9"/>
  <c r="Z9" s="1"/>
  <c r="M12"/>
  <c r="Z12" s="1"/>
  <c r="M13"/>
  <c r="Z13" s="1"/>
  <c r="M14"/>
  <c r="Z14" s="1"/>
  <c r="M15"/>
  <c r="Z15" s="1"/>
  <c r="M18"/>
  <c r="Z18" s="1"/>
  <c r="M20"/>
  <c r="Z20" s="1"/>
  <c r="M21"/>
  <c r="Z21" s="1"/>
  <c r="M24"/>
  <c r="Z24" s="1"/>
  <c r="M25"/>
  <c r="Z25" s="1"/>
  <c r="M27"/>
  <c r="Z27" s="1"/>
  <c r="M30"/>
  <c r="Z30" s="1"/>
  <c r="M31"/>
  <c r="Z31" s="1"/>
  <c r="M33"/>
  <c r="Z33" s="1"/>
  <c r="M39"/>
  <c r="Z39" s="1"/>
  <c r="M42"/>
  <c r="Z42" s="1"/>
  <c r="M55"/>
  <c r="Z55" s="1"/>
  <c r="M66"/>
  <c r="Z66" s="1"/>
  <c r="M71"/>
  <c r="Z71" s="1"/>
  <c r="M73"/>
  <c r="Z73" s="1"/>
  <c r="M48"/>
  <c r="Z48" s="1"/>
  <c r="M54"/>
  <c r="Z54" s="1"/>
  <c r="M69"/>
  <c r="Z69" s="1"/>
  <c r="M75"/>
  <c r="Z75" s="1"/>
  <c r="M80"/>
  <c r="Z80" s="1"/>
  <c r="M84"/>
  <c r="Z84" s="1"/>
  <c r="M8"/>
  <c r="Z8" s="1"/>
  <c r="M10"/>
  <c r="Z10" s="1"/>
  <c r="M11"/>
  <c r="Z11" s="1"/>
  <c r="M16"/>
  <c r="Z16" s="1"/>
  <c r="M19"/>
  <c r="Z19" s="1"/>
  <c r="M22"/>
  <c r="Z22" s="1"/>
  <c r="M85"/>
  <c r="Z85" s="1"/>
  <c r="M82"/>
  <c r="Z82" s="1"/>
  <c r="M53"/>
  <c r="Z53" s="1"/>
  <c r="M29"/>
  <c r="Z29" s="1"/>
  <c r="M34"/>
  <c r="Z34" s="1"/>
  <c r="M36"/>
  <c r="Z36" s="1"/>
  <c r="M37"/>
  <c r="Z37" s="1"/>
  <c r="M38"/>
  <c r="Z38" s="1"/>
  <c r="M40"/>
  <c r="Z40" s="1"/>
  <c r="M45"/>
  <c r="Z45" s="1"/>
  <c r="M46"/>
  <c r="Z46" s="1"/>
  <c r="M47"/>
  <c r="Z47" s="1"/>
  <c r="M49"/>
  <c r="Z49" s="1"/>
  <c r="M50"/>
  <c r="Z50" s="1"/>
  <c r="M51"/>
  <c r="Z51" s="1"/>
  <c r="M52"/>
  <c r="Z52" s="1"/>
  <c r="M56"/>
  <c r="Z56" s="1"/>
  <c r="M58"/>
  <c r="Z58" s="1"/>
  <c r="M59"/>
  <c r="Z59" s="1"/>
  <c r="M61"/>
  <c r="Z61" s="1"/>
  <c r="M62"/>
  <c r="Z62" s="1"/>
  <c r="M63"/>
  <c r="Z63" s="1"/>
  <c r="M64"/>
  <c r="Z64" s="1"/>
  <c r="M65"/>
  <c r="Z65" s="1"/>
  <c r="M67"/>
  <c r="Z67" s="1"/>
  <c r="M68"/>
  <c r="Z68" s="1"/>
  <c r="M70"/>
  <c r="Z70" s="1"/>
  <c r="M72"/>
  <c r="Z72" s="1"/>
  <c r="M74"/>
  <c r="Z74" s="1"/>
  <c r="M76"/>
  <c r="Z76" s="1"/>
  <c r="M77"/>
  <c r="Z77" s="1"/>
  <c r="M79"/>
  <c r="Z79" s="1"/>
  <c r="M81"/>
  <c r="Z81" s="1"/>
  <c r="M83"/>
  <c r="Z83" s="1"/>
  <c r="M86"/>
  <c r="Z86" s="1"/>
  <c r="M87"/>
  <c r="Z87" s="1"/>
  <c r="M88"/>
  <c r="Z88" s="1"/>
  <c r="M89"/>
  <c r="Z89" s="1"/>
  <c r="M90"/>
  <c r="Z90" s="1"/>
  <c r="M91"/>
  <c r="Z91" s="1"/>
  <c r="M92"/>
  <c r="Z92" s="1"/>
  <c r="M93"/>
  <c r="Z93" s="1"/>
  <c r="M94"/>
  <c r="Z94" s="1"/>
  <c r="M95"/>
  <c r="Z95" s="1"/>
  <c r="M97"/>
  <c r="Z97" s="1"/>
  <c r="M32"/>
  <c r="Z32" s="1"/>
  <c r="M96"/>
  <c r="Z96" s="1"/>
  <c r="M100"/>
  <c r="Z100" s="1"/>
  <c r="M98"/>
  <c r="Z98" s="1"/>
  <c r="M99"/>
  <c r="Z99" s="1"/>
  <c r="M35"/>
  <c r="Z35" s="1"/>
  <c r="W17" l="1"/>
  <c r="Y17" s="1"/>
</calcChain>
</file>

<file path=xl/sharedStrings.xml><?xml version="1.0" encoding="utf-8"?>
<sst xmlns="http://schemas.openxmlformats.org/spreadsheetml/2006/main" count="887" uniqueCount="442">
  <si>
    <t>MAPA DEMONSTRATIVO DE OBRAS E SERVIÇOS DE ENGENHARIA</t>
  </si>
  <si>
    <t>UNIDADE: 5010</t>
  </si>
  <si>
    <t>UNIDADE ORÇAMENTÁRIA: AUTARQUIA DE MANUTENÇÃO E LIMPEZA URBANA – EMLURB</t>
  </si>
  <si>
    <t>MARÍLIA DANTAS DA SILVA –Diretora Presidente – CPF: 047.828.504-33</t>
  </si>
  <si>
    <t>Responsável pela Unidade</t>
  </si>
  <si>
    <t>Ordenador de Despesa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</si>
  <si>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</si>
  <si>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</si>
  <si>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</si>
  <si>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</si>
  <si>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</si>
  <si>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</si>
  <si>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EXECUÇÃO</t>
  </si>
  <si>
    <t>SITUAÇÃO</t>
  </si>
  <si>
    <t>Nº/Ano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</si>
  <si>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</si>
  <si>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</si>
  <si>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</si>
  <si>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</si>
  <si>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</si>
  <si>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</si>
  <si>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</si>
  <si>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</si>
  <si>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</si>
  <si>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</si>
  <si>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
(R$)</t>
  </si>
  <si>
    <t>VALOR REAJUSTE</t>
  </si>
  <si>
    <t>NATUREZA DA DESPESA</t>
  </si>
  <si>
    <t>VALOR MEDIDO ACUMULADO
(R$)</t>
  </si>
  <si>
    <t>VALOR PAGO ACUMULADO NO PERÍODO
(R$)</t>
  </si>
  <si>
    <t>VALOR PAGO ACUMULADO NO EXERCÍCIO
(R$)</t>
  </si>
  <si>
    <t>VALOR  PAGO ACUMULADO NA OBRA OU SERVIÇO
(R$)</t>
  </si>
  <si>
    <t>EXERCÍCIO: 2023</t>
  </si>
  <si>
    <t>PERÍODO REFERENCIAL: JANEIRO A MARÇO</t>
  </si>
  <si>
    <t>CONCORRÊNCIA / nº 014/2021</t>
  </si>
  <si>
    <t>CONTRATAÇÃO DE EMPRESA DE ENGENHARIA, ESPECIALIZADA EM ILUMINAÇÃO PÚBLICA, PARA FORNECIMENTO E INSTALAÇÃO DE LUMINÁRIAS COM TECNOLOGIA LED RGB E REDE ELÉTRICA, PARA ILUMINAÇÃO CÊNICA DO PARQUE DONA LINDU, BOA VIAGEM</t>
  </si>
  <si>
    <t>532561/2020</t>
  </si>
  <si>
    <t>FINISA</t>
  </si>
  <si>
    <t>03.834.750/0001-57</t>
  </si>
  <si>
    <t>EIP SERVICOS DE ILUMINACAO LTDA</t>
  </si>
  <si>
    <t>6-001/22</t>
  </si>
  <si>
    <t>4.4.90.39</t>
  </si>
  <si>
    <t>andamento</t>
  </si>
  <si>
    <t>CONTRATACAO DOS SERVICOS DE LIMPEZA E MANUTENCAO DO SISTEMA DE MICRODRENAGEM DE AGUAS PLUVIAIS DO MUNICIPIO DO RECIFE RPA 02 E 03</t>
  </si>
  <si>
    <t>07.693.988/0001-60</t>
  </si>
  <si>
    <t>F R F ENGENHARIA LTDA</t>
  </si>
  <si>
    <t>6-002/21</t>
  </si>
  <si>
    <t>3.3.90.39</t>
  </si>
  <si>
    <t>CONCORRÊNCIA / nº 012/2021</t>
  </si>
  <si>
    <t>CONTRATAÇÃO DE EMPRESA DE ENGENHARIA, ESPECIALIZADA EM ILUMINAÇÃO PÚBLICA, PARA SERVIÇOS DE APOIO TÉCNICO PARA CIDADE DO RECIFE.</t>
  </si>
  <si>
    <t>6-002/22</t>
  </si>
  <si>
    <t>CONCORRÊNCIA / nº 008/2021</t>
  </si>
  <si>
    <t>CONTRATAÇÃO DE EMPRESA DE ENGENHARIA, ESPECIALIZADA EM ILUMINAÇÃO PÚBLICA, PARA EXECUÇÃO DA MANUTENÇÃO, PREVENTIVA E CORRETIVA, DO SISTEMA DE ILUMINAÇÃO CÊNICA DA CIDADE DO RECIFE</t>
  </si>
  <si>
    <t>6-003/22</t>
  </si>
  <si>
    <t>CONTRATACAO DE EMPRESA DE ENGENHARIA PARA REALIZACAO DE MANUTENCAO PREVENTIVA E CORRETIVA DO SISTEMA DE ILUMINACAO PUBLICA CONVENCIONAL DAS RPAS DO MUNICIPIO DO RECIFE. EM POSTES COM ATE 12 METROS DE ALTURA LOTE I. RPA 1 E 6</t>
  </si>
  <si>
    <t>6-004/21</t>
  </si>
  <si>
    <t>CONTRATACAO DE EMPRESA DE ENGENHARIA PARA REALIZACAO DE MANUTENCAO PREVENTIVA E CORRETIVA DO SISTEMA DE ILUMINACAO PUBLICA CONVENCIONAL DAS RPAS DO MUNICIPIO DO RECIFE. EM POSTES COM ATE 12 METROS DE ALTURA LOTE II RPA 2 E 3</t>
  </si>
  <si>
    <t>6-005/21</t>
  </si>
  <si>
    <t>CONTRATAÇÃO DE EMPRESA DE ENGENHARIA PARA REALIZAÇÃO DE MANUTENÇÃO PREVENTIVA E CORRETIVA DO SISTEMA DE ILUMINAÇÃO PUBLICA CONVENCIONAL DAS RPAS DO RECIFE LOTE III RPA  4 E 5</t>
  </si>
  <si>
    <t>6-006/21</t>
  </si>
  <si>
    <t>CONTRATACAO DOS SERVICOS DE MANUTENCAO E RECUPERACAO DA PAVIMENTACAO NAS VIAS EM PARALELEPIPEDOS CONSTITUINTES DO SISTEMA VIARIO DA CIDADE DO RECIFE. LOTE I - RPA 1</t>
  </si>
  <si>
    <t>10.811.370/0001-62</t>
  </si>
  <si>
    <t>GUERRA CONSTRUCOES LTDA</t>
  </si>
  <si>
    <t>6-007/21</t>
  </si>
  <si>
    <t>Tomada de Preço Licitação: 011/2021</t>
  </si>
  <si>
    <t>CONTRATAÇÃO DE EMPRESA DE ENGENHARIA, ESPECIALIZADA EM ILUMINAÇÃO PÚBLICA, PARA FORNECIMENTO DE LUMINÁRIAS COM TECNOLOGIA LED RGB E REDE ELÉTRICA, PARA ILUMINAÇÃO CÊNICA DA PASSARELA JOANA BEZERRA.</t>
  </si>
  <si>
    <t>01.346.561/0001-00</t>
  </si>
  <si>
    <t>VASCONCELOS E SANTOS LTDA</t>
  </si>
  <si>
    <t>6-007/22</t>
  </si>
  <si>
    <t>CONTRATACAO DOS SERVICOS DE MANUTENCAO E RECUPERACAO DA PAVIMENTACAO NAS VIAS EM PARALELEPIPEDOS CONSTITUINTES DO SISTEMA VIARIO DA CIDADE DO RECIFE. LOTES II - RPA 2 E 3</t>
  </si>
  <si>
    <t>07.086.088/0001-55</t>
  </si>
  <si>
    <t>SOLO CONSTRUCOES E TERRAPLANAGEM LTDA</t>
  </si>
  <si>
    <t>6-008/21</t>
  </si>
  <si>
    <t>CONTRATACAO DOS SERVICOS DE MANUTENCAO E RECUPERACAO DA PAVIMENTACAO NAS VIAS EM PARALELEPIPEDOS CONSTITUINTES DO SISTEMA VIARIO DA CIDADE DO RECIFE. LOTES III - RPA 4 E 5</t>
  </si>
  <si>
    <t>05.625.079/0001-60</t>
  </si>
  <si>
    <t xml:space="preserve">CONSTRUTORA MARDIFI LTDA - EPP </t>
  </si>
  <si>
    <t>6-009/21</t>
  </si>
  <si>
    <t>CONCORRÊNCIA / nº 018/2021</t>
  </si>
  <si>
    <t>SERVIÇOS DE REQUALIFICAÇÃO DE PAVIMENTAÇÃO, DRENAGEM, ACESSIBILIDADE E SINALIZAÇÃO DA RUA CARLOS PEREIRA FALÇÃO TRECHO ENTRE AS RUAS VISCONDE DE JEQUITINHONHA E TENENTE DOMINGOS DE BRITO LOCALIZADA NO BAIRRO DE BOA VIAGEM NA CIDADE DO RECIFE - PE</t>
  </si>
  <si>
    <t>899753/2020</t>
  </si>
  <si>
    <t>Emenda Parlamentar Federal</t>
  </si>
  <si>
    <t>10.893.105/0001-70</t>
  </si>
  <si>
    <t>AGILIS CONSTRUTORA LTDA</t>
  </si>
  <si>
    <t>6-009/22</t>
  </si>
  <si>
    <t>CONTRATACAO DOS SERVICOS DE MANUTENCAO E RECUPERACAO DA PAVIMENTACAO NAS VIAS EM PARALELEPIPEDOS CONSTITUINTES DO SISTEMA VIARIO DA CIDADE DO RECIFE. LOTES IV. - RPA 06</t>
  </si>
  <si>
    <t>6-010/21</t>
  </si>
  <si>
    <t>CONTRATACAO DOS SERVICOS DE MANUTENCAO PREVENTIVA DO SISTEMA DE MACRODRENAGEM PELO PROCESSO DE BARRAGEM MOVEL EM DIVERSOS CANAIS DA CIDADE DO RECIFE</t>
  </si>
  <si>
    <t>03.366.083/0001-25</t>
  </si>
  <si>
    <t>HIDROMAX CONSTRUÇOES LTDA</t>
  </si>
  <si>
    <t>6-012/21</t>
  </si>
  <si>
    <t>Pregão Eletrônico Licitação: 002/2022</t>
  </si>
  <si>
    <t>CONTRATAÇÃO DE PESSOA S JURÍDICA S ESPECIALIZADA EM ENGENHARIA SANITÁRIA PARA RECEBIMENTO, TRATAMENTO E DISPOSIÇÃO FINAL DE RESÍDUOS DE CONSTRUÇÃO RCC CLASSE A INERTE COLETADOS PELA EMLURB NO MUNICÍPIO DO RECIFE</t>
  </si>
  <si>
    <t>10.877.732/0001-18</t>
  </si>
  <si>
    <t>CICLO AMBIENTAL LTDA</t>
  </si>
  <si>
    <t>6-012/22</t>
  </si>
  <si>
    <t>PRESTAÇÃO DE SERVIÇO DE MANUTENÇÃO E RECUPERAÇÃO AMBIENTAL DO ATERRO CONTROLADO DA MURIBECA</t>
  </si>
  <si>
    <t>6-013/20</t>
  </si>
  <si>
    <t>concorrência /nº 001/2021</t>
  </si>
  <si>
    <t>CONTRATACAO DE EMPRESA DE ENGENHARIA ESPECIALIZADA. PARA A OPERACAO. AUTOMACAO E MANUTENCAO ELETRICA E MECANICA DAS ESTACOES DE BOMBEAMENTO E COMPORTAS DA CIDADE DO RECIFE</t>
  </si>
  <si>
    <t>41.116.138/0001-38</t>
  </si>
  <si>
    <t>REAL ENERGY LTDA</t>
  </si>
  <si>
    <t>6-014/21</t>
  </si>
  <si>
    <t>concorrência /nº 015/2020</t>
  </si>
  <si>
    <t>SERVIÇOS DE RECUPERAÇÃO DE VIAS URBANAS PAVIMENTAS EM CONCRETO DE CIMENTO PORTLAND EM TRECHOS DE VIAS NAS RPA'S 1 A 6</t>
  </si>
  <si>
    <t>00.338.885/0001-33</t>
  </si>
  <si>
    <t>NOVATEC CONSTRUCOES E EMPREENDIMENTOS LTDA</t>
  </si>
  <si>
    <t>6-015/21</t>
  </si>
  <si>
    <t>MONITORAMENTO AMBIENTAL DO ATERRO CONTROLADO DA MURIBECA E SERVIÇOS DE CONSULTORIA TECNOLÓGICA PARA TRATAMENTO DE RESÍDUOS SÓLIDOS URBANOS</t>
  </si>
  <si>
    <t>11.187.606/0001-02</t>
  </si>
  <si>
    <t xml:space="preserve">ATEPE ASSOCIACAO TECNOLOGICA DE PERNAMBUCO                  </t>
  </si>
  <si>
    <t>6-018/20</t>
  </si>
  <si>
    <t>concorrência /nº 004/2021</t>
  </si>
  <si>
    <t>RECUPERAÇÃO DE PASSEIOS COM IMPLANTAÇÃO DE ACESSIBILIDADE EM VARIAS VIAS E LOCAIS DO RECIFE</t>
  </si>
  <si>
    <t>535346/2020</t>
  </si>
  <si>
    <t>03.608.944/0001-34</t>
  </si>
  <si>
    <t>JEPAC CONSTRUCOES LTDA</t>
  </si>
  <si>
    <t>6-018/21</t>
  </si>
  <si>
    <t>CONCORRÊNCIA / nº 021/2021</t>
  </si>
  <si>
    <t>CONTRATAÇÃO DE EMPRESA DE ENGENHARIA, ESPECIALIZADA EM ILUMINAÇÃO PÚBLICA, PARA FORNECIMENTO E INSTALAÇÃO DE LUMINÁRIAS RGB COM TECNOLOGIA LED E REDE ELÉTRICA, PARA ILUMINAÇÃO CÊNICA, DO TEATRO SANTA IZABEL BAIRRO SANTO ANTÔNIO</t>
  </si>
  <si>
    <t>6-019/22</t>
  </si>
  <si>
    <t>PREGÃO ELETRÔNICO Licitação: 006/2022</t>
  </si>
  <si>
    <t>CONTRATAÇÃO DE EMPRESA ESPECIALIZADA EM SERVIÇOS DE ENGENHARIA AGRONÔMICA COM FINS DE EXECUÇÃO DE SERVIÇOS DE MANUTENÇÃO DO ARBORETO URBANO DAS VIAS PÚBLICAS, PARQUES, PRAÇAS E DEMAIS ÁREAS VERDES DA CIDADE DO RECIFE</t>
  </si>
  <si>
    <t>00.449.936/0001-02</t>
  </si>
  <si>
    <t>ENGEMAIA E CIA LTDA</t>
  </si>
  <si>
    <t>6-020/22</t>
  </si>
  <si>
    <t>RECUPERACAO DE ESCADARIAS. MUROS E CORRIMOES LOCALIZADAS NAS DIVERSAS NAS DIVERSAS REGIAO POLITICA ADMINISTRATIVA RPAS DA CIDADE DO RECIFE. DIVIDIDAS EM EM LOTES. LOTE I RPA 2; LOTE II RPA 3 E LOTE III RPA 4.5.6</t>
  </si>
  <si>
    <t>535346/2020 e 599406/2021</t>
  </si>
  <si>
    <t>11.523.068/0001-71</t>
  </si>
  <si>
    <t>CONSTRUTORA FAELLA LTDA EPP</t>
  </si>
  <si>
    <t>6-021/21</t>
  </si>
  <si>
    <t>6-022/21</t>
  </si>
  <si>
    <t>TOMADA DE PREÇOS Licitação: 001/2022</t>
  </si>
  <si>
    <t>REFORMA DE DOIS PRÉDIOS PÚBLICOS MANTIDOS PELA EMLURB, REFORMA COM AMPLIAÇÃO PARA IMPLANTAÇÃO DO SETOR DE FISCALIZAÇÃO STFI , 2 E 3, LOCALIZADA NA RUA JOUBERTE CARVALHO, CASA AMARELA E DIVISÃO DE FISCALIZAÇÃO DVFI 4 E 5 LOCALIZADO NO PARQUE DO CAIARA, AV. MAURÍCIO DE NASSAU, 68 IPUTINGA, RECIFE</t>
  </si>
  <si>
    <t>17.772.572/0001-91</t>
  </si>
  <si>
    <t>CARVALHO PONTES ENGENHARIA LTDA - EPP</t>
  </si>
  <si>
    <t>6-022/22</t>
  </si>
  <si>
    <t>Cadastrado</t>
  </si>
  <si>
    <t>6-023/21</t>
  </si>
  <si>
    <t>TOMADA DE PREÇOS Licitação: 003/2022</t>
  </si>
  <si>
    <t>CONTRATAÇÃO DE EMPRESA ESPECIALIZADA NO RAMO DE ENGENHARIA PARA EXECUÇÃO DOS SERVIÇOS DE REQUALIFICAÇÃO DA PRAÇA ABELARDO BALTAR, PRAÇA BRASILIA FORMOSA E PRAÇA SÃO PEDRO LOCALIZADAS NA CIDADE DO RECIFE PE, DE ACORDO COM AS NORMAS PREVISTAS NESTE PROJETO BÁSICO E NA PLANILHA ORÇAMENTÁRIA</t>
  </si>
  <si>
    <t>6-023/22</t>
  </si>
  <si>
    <t>CONCORRÊNCIA Licitação:    004/2019</t>
  </si>
  <si>
    <t>SERVIÇOS COMPLEMENTARES DE LIMPEZA URBANA EM ÁREAS PLANAS E DE TALUDE E SERVIÇOS DE MANUTENÇÃO CONTÍNUA PREVENTIVA E CORRETIVA DA ARBORIZAÇÃO URBANA EM MORROS, INCLUINDO A LOCAÇÃO DE VEÍCULOS E EQUIPAMENTOS.</t>
  </si>
  <si>
    <t>40.884.405/0001-54</t>
  </si>
  <si>
    <t>LOQUIPE LOCACAO DE EQUIPAMENTOS E MAO DE OBRA LTDA</t>
  </si>
  <si>
    <t>6-024/19</t>
  </si>
  <si>
    <t>PREGÃO ELETRÔNICO Licitação: 010/2022</t>
  </si>
  <si>
    <t>REQUALIFICAÇÃO DO PARQUE APIPUCOS E DO SEU ENTORNO</t>
  </si>
  <si>
    <t>6-024/22</t>
  </si>
  <si>
    <t>CONCORRÊNCIA Licitação: 003/2022</t>
  </si>
  <si>
    <t>CONTRATAÇÃO DE EMPRESA DE ENGENHARIA, ESPECIALIZADA EM ILUMINAÇÃO PÚBLICA, PARA FORNECIMENTO E INSTAÇÃO DE LUMINARIAS COM TECNOLOGIA LED, COMPATÍVEIS COM SISTEMA DE TELEGESTÃO E REDE ELÉTRICA, PARA ILUMINAÇÃO PÚBLICA DA BR 101, NO TRECHO COMPREENDIDO ENTRE OS KM 69 E KM 78 E OS KM 62 E KM 58</t>
  </si>
  <si>
    <t>6-025/22</t>
  </si>
  <si>
    <t>23.742.620/0001-00</t>
  </si>
  <si>
    <t>INSTTALE ENGENHARIA LTDA</t>
  </si>
  <si>
    <t>40.882.060/0001-08</t>
  </si>
  <si>
    <t>LIDERMAC CONSTRUCOES E EQUIPAMENTOS LTDA</t>
  </si>
  <si>
    <t>CONCORRÊNCIA Licitação: 007/2021</t>
  </si>
  <si>
    <t>CONTRATAÇÃO DE EMPRESA ESPECIALIZADA EM ENGENHARIA PARA ELABORAÇÃO E READEQUAÇÃO DE PROJETOS EXECUTIVOS DE INFRAESTRUTURADA URBANA, PARA AS VIAS DA CIDADE DO RECIFE</t>
  </si>
  <si>
    <t>70.073.275/0001-30</t>
  </si>
  <si>
    <t>GEOSISTEMAS ENGENHARIA E PLANEJAMENTO LTDA</t>
  </si>
  <si>
    <t>6-027/22</t>
  </si>
  <si>
    <t>EXECUÇÃO DE SERVIÇOS DE REQUALIFICAÇÃO MANUTENÇÃO PREVENTIVA E CORRETIVA DE PRAÇAS, PARQUES E ÁREAS VERDES CANTEIROS DE AVENIDAS E REFÚGIOS DA CIDADE DO RECIFE RPAS 1,2 E 3</t>
  </si>
  <si>
    <t>6-028/21</t>
  </si>
  <si>
    <t>17.883.268/0001-11</t>
  </si>
  <si>
    <t>WRC SOLUCOES - PROJETOS, GEODESIA E CONSTRUÇÃO LTDA</t>
  </si>
  <si>
    <t>6-028/22</t>
  </si>
  <si>
    <t>CONTRATAÇÃO DOS SERVIÇOS DE MANUTENÇÃO CORRETIVA DO SISTEMA VIÁRIO DO RECIFE RPA 01</t>
  </si>
  <si>
    <t>6-029/20</t>
  </si>
  <si>
    <t>EXECUÇÃO DE SERVIÇOS DE REQUALIFICAÇÃO MANUTENÇÃO PREVENTIVA E CORRETIVA DE PRAÇAS, PARQUES E ÁREAS VERDES CANTEIROS DE AVENIDAS E REFÚGIOS DA CIDADE DO RECIFE RPAS 4,5 E 6</t>
  </si>
  <si>
    <t>10.698.641/0001-15</t>
  </si>
  <si>
    <t>CONSTRUTORA MASTER EIRELI ME</t>
  </si>
  <si>
    <t>6-029/21</t>
  </si>
  <si>
    <t>CONTRATAÇÃO DOS SERVIÇOS DE MANUTENÇÃO CORRETIVA DO SISTEMA VIÁRIO DO RECIFE RPA 02 E 03</t>
  </si>
  <si>
    <t>00.999.591/0001-52</t>
  </si>
  <si>
    <t xml:space="preserve">AGC CONSTRUTORA E EMPREENDIMENTOS LTDA                      </t>
  </si>
  <si>
    <t>6-030/20</t>
  </si>
  <si>
    <t>CONTRATAÇÃO DOS SERVIÇOS DE MANUTENÇÃO CORRETIVA DO SISTEMA VIÁRIO DO RECIFE RPA 06</t>
  </si>
  <si>
    <t>6-032/20</t>
  </si>
  <si>
    <t>PREGÃO ELETRÔNICO Licitação: 017/2022</t>
  </si>
  <si>
    <t>MANUTENÇÃO E /OU INSTALAÇÃO DE EQUIPAMENTOS E BRINQUEDOS EM MADEIRA, INSTALADOS EM PARQUES E PRAÇAS DA CIDADE DO RECIFE</t>
  </si>
  <si>
    <t>06.157.352/0001-31</t>
  </si>
  <si>
    <t>ROBERTO &amp; JAIR COMÉRCIO E SERVIÇOS LTDA-ME</t>
  </si>
  <si>
    <t>6-032/22</t>
  </si>
  <si>
    <t>CONTRATAÇÃO DE EMPESA ESPECIALIZADA DE ENGENHARIA PARA ELABORAÇÃO E READEQUAÇÃO DE PROJETOS EXECUTIVOS DE INFRAESTRUTURA URBANA, CONTEMPLANDO AS DISCIPLINAS DE GEOMETRIA, PAVIMENTAÇÃO, TERRAPLENAGEM, DRENAGEM, URBANISMO E SEUS ORÇAMENTOS DE CUSTOS PARA VIAS URBANAS DA CIDADE DO RECIFE</t>
  </si>
  <si>
    <t>6-033/22</t>
  </si>
  <si>
    <t>6-034/22</t>
  </si>
  <si>
    <t>CONCORRÊNCIA Licitação: 006/2021</t>
  </si>
  <si>
    <t>CONTRATAÇÃO DE EMPRESA DE ENGENHARIA, PARA EXECUÇÃO DOS SERVIÇOS DE IMPLANTAÇÃO DA REDE DE DRENAGEM, PAVIMENTAÇÃO, ACESSIBILIDADE E SINALIZAÇÃO DAS RUAS DESEMBARGADOR VIRGÍLIO DE SA PEREIRA E MATHUZALEM WANDERLEY, LOCALIZADAS NO BAIRRO DO CORDEIRO. LOTE 01</t>
  </si>
  <si>
    <t xml:space="preserve"> 892570/2019</t>
  </si>
  <si>
    <t>02.724.778/0001-79</t>
  </si>
  <si>
    <t>UNITERRA - UNIAO TERRAPLENAGEM E CONSTRUCOES LTDA</t>
  </si>
  <si>
    <t>6-035/21</t>
  </si>
  <si>
    <t>CONCORRÊNCIA Licitação: 001/2022</t>
  </si>
  <si>
    <t>SERVIÇO DE MANUTENÇÃO PREVENTIVA DO SISTEMA MACRODRENAGEM EM TODAS AS RPAS DA CIDADE DO RECIFE, LOTE I - RPA 01 E RPA 06</t>
  </si>
  <si>
    <t>01.514.128/0001-36</t>
  </si>
  <si>
    <t>SCAVE SERVICOS DE ENGENHARIA E LOCACAO LTDA</t>
  </si>
  <si>
    <t>6-036/22</t>
  </si>
  <si>
    <t>SERVIÇO DE MANUTENÇÃO PREVENTIVA DO SISTEMA MACRODRENAGEM EM TODAS AS RPAS DA CIDADE DO RECIFE, LOTE II - RPA 02 E RPA 03</t>
  </si>
  <si>
    <t>6-037/22</t>
  </si>
  <si>
    <t>SERVIÇO DE MANUTENÇÃO PREVENTIVA DO SISTEMA MACRODRENAGEM EM TODAS AS RPAS DA CIDADE DO RECIFE. LOTE III - RPA 04 E RPA 05</t>
  </si>
  <si>
    <t>03.951.168/0001-70</t>
  </si>
  <si>
    <t>CONSTRUTORA NOVO MUNDO EIRELI</t>
  </si>
  <si>
    <t>6-038/22</t>
  </si>
  <si>
    <t xml:space="preserve">  CONCORRÊNCIA Licitação: 004/2022</t>
  </si>
  <si>
    <t>IMPLANTAÇÃO DE CICLOVIA NA AV. AGAMENON MAGALHÃES NO TRECHO COMPREENDIDO ENTRE A RUA DR. LEOPOLDO LINS, NO BAIRRO DA BOA VISTA ATÉ A AVENIDA SATURTINO DE BRITO, NO BAIRRO DO CABANGA, RECIFE PE</t>
  </si>
  <si>
    <t>11.864.311/0001-15</t>
  </si>
  <si>
    <t>SBC SOCIEDADE BRASILEIRA DE CONSTRUCOES LTDA</t>
  </si>
  <si>
    <t>6-039/22</t>
  </si>
  <si>
    <t>CONCORRÊNCIA / Nº 005/2021</t>
  </si>
  <si>
    <t>CONTRATAÇÃO DE EMPRESA DE ENGENHARIA ESPECIALIZADA EM ILUMINAÇÃO PÚBLICA PARA REALIZAÇÃO DE MANUTENÇÃO PREVENTIVA E CORRETIVA DO SISTEMA DE ILUMINAÇÃO PÚBLICA ESPECIAL DO MUNICÍPIO DO RECIFE</t>
  </si>
  <si>
    <t>6-040/21</t>
  </si>
  <si>
    <t>CONTRATAÇÃO DE EMPRESA DE ENGENHARIA, PARA EXECUÇÃO DOS SERVIÇOS DE IMPLANTAÇÃO DA REDE DE DRENAGEM, PAVIMENTAÇÃO, ACESSIBILIDADE E SINALIZAÇÃO DAS RUAS DESEMBARGADOR VIRGÍLIO DE SA PEREIRA E MATHUZALEM WANDERLEY, LOCALIZADAS NO BAIRRO DO CORDEIRO. LOTE 02</t>
  </si>
  <si>
    <t>6-041/21</t>
  </si>
  <si>
    <t>Concorrência Licitação: 009/2021</t>
  </si>
  <si>
    <t>EXECUÇÃO DE SERVIÇOS DE RECUPERAÇÃO DE PASSARELAS, PONTILHÕES E ELEMENTOS LIMITADORES DE ESPAÇO OU PROTEÇÃO NAS DIVERSAS RPAS DA CIDADE DO RECIFE</t>
  </si>
  <si>
    <t>6-042/21</t>
  </si>
  <si>
    <t>TOMADA DE PREÇOS Licitação: 002/2022</t>
  </si>
  <si>
    <t>REQUALIFICAÇÃO DO PRÉDIO DO VELÓRIO DO CEMITÉRIO DE SANTO AMARO, LOCALIZADO NA RUA DO POMBAL, BAIRRO DE SANTO AMARO RECIFE</t>
  </si>
  <si>
    <t>6-043/22</t>
  </si>
  <si>
    <t>CONCORRÊNCIA / nº 006/2020</t>
  </si>
  <si>
    <t>CONTRATAÇÃO DE EMPRESA DE ENGENHARIA ESPECIALIZADA EM ILUMINAÇÃO PÚBLICA, PARA EXECUÇÃO DOS SERVIÇOS DE MANUTENÇÃO CONTÍNUA, CORRETIVA E PREVENTIVA, DO SISTEMA DE ILUMINAÇÃO PÚBLICA ESPECIAL DA CIDADE DO RECIFE, EM POSTES ACIMA DE 12 METROS DE ALTURA</t>
  </si>
  <si>
    <t>6-044/20</t>
  </si>
  <si>
    <t>CONCORRÊNCIA Licitação: 006/2022</t>
  </si>
  <si>
    <t>RECUPERAÇÃO DE CONTENÇÃO DE CANAIS, NAS DIVERSAS REGIÃO POLITICO ADMINISTRATIVA RPA'S DA CIDADE DO RECIFE</t>
  </si>
  <si>
    <t>6-046/22</t>
  </si>
  <si>
    <t>CONCORRÊNCIA Licitação: 005/2022</t>
  </si>
  <si>
    <t>CONTRATAÇÃO DE EMPRESA DE ENGENHARIA ESPECIALIZADA EM ILUMINAÇÃO PÚBLICA PARA FORNECIMENTO E INSTALAÇÃO DE SISTEMA DE PROTEÇÃO CONTRA VAZAMENTO DE CORRENTE E ATERRAMENTO NOS POSTES EXCLUSIVOS DE ILUMINAÇÃO PÚBLICA NA CIDADE DO RECIFE/PE</t>
  </si>
  <si>
    <t>6-047/22</t>
  </si>
  <si>
    <t>SERVIÇOS DE MANUTENÇÃO DO SISTEMA DE MICRODRENAGEM DAS AGUAS PLUVIAIS DO MUNICIPIO DO RECIFE RPA 1</t>
  </si>
  <si>
    <t>6-048/20</t>
  </si>
  <si>
    <t>PREGÃO ELETRÔNICO Licitação: 012/2022</t>
  </si>
  <si>
    <t>32.185.141/0001-12</t>
  </si>
  <si>
    <t>CASTRO &amp; ROCHA LTDA</t>
  </si>
  <si>
    <t>6-048/22</t>
  </si>
  <si>
    <t>PREGÃO ELETRÔNICO Licitação: 001/2022</t>
  </si>
  <si>
    <t>CONTRATAÇÃO DE PESSOA JURÍDICA ESPECIALIZADA EM ENGENHARIA SANITÁRIA PARA RECEBIMENTO, TRATAMENTO E DISPOSIÇÃO FINAL DE RESÍDUOS SÓLIDOS URBANOS CLASSE IIA E CLASSE IIB COLETADOS PELA EMLURB NO MUNICÍPIO DE RECIFE, NOS LOTES ABAIXO ESPECIFICADOS E SUAS RESPECTIVAS QUANTIDADES ESTIMATIVAS. LOTE I</t>
  </si>
  <si>
    <t>03.279.285/0027-79</t>
  </si>
  <si>
    <t>ORIZON MEIO AMBIENTE S.A.</t>
  </si>
  <si>
    <t>6-049/22</t>
  </si>
  <si>
    <t>CONTRATAÇÃO DE PESSOA JURÍDICA ESPECIALIZADA EM ENGENHARIA SANITÁRIA PARA RECEBIMENTO, TRATAMENTO E DISPOSIÇÃO FINAL DE RESÍDUOS SÓLIDOS URBANOS CLASSE IIA E CLASSE IIB COLETADOS PELA EMLURB NO MUNICÍPIO DE RECIFE, NOS LOTES ABAIXO ESPECIFICADOS E SUAS RESPECTIVAS QUANTIDADES ESTIMATIVAS. LOTE II</t>
  </si>
  <si>
    <t>6-050/22</t>
  </si>
  <si>
    <t>PREGÃO ELETRÔNICO Licitação: 023/2022</t>
  </si>
  <si>
    <t>CONTRATAÇÃO DE EMPRESA DE ENGENHARIA ESPECIALIZADA PARA A EXECUÇÃO DOS SERVIÇOS DE PAVIMENTAÇÃO E DRENAGEM COM A ELEVAÇÃO DE GREIDE NA AVENIDA AGAMENON MAGALHÃES, NO TRECHO ENTRE PARQUE AMORIM E A MC DONALD'S, BAIRRO DAS GRAÇAS, RECIFE/PE</t>
  </si>
  <si>
    <t>6-051/22</t>
  </si>
  <si>
    <t>PREGÃO ELETRÔNICO Licitação: 022/2022</t>
  </si>
  <si>
    <t>CONTRATAÇÃO DE EMPRESA ESPECIALIZADA NO RAMO DE ENGENHARIA PARA EXECUÇÃO DE DEMOLIÇÃO E CONSTRUÇÃO DO MÓDULO 66 (GAVETAS E OSSUÁRIOS) E RECUPERAÇÃO ESTRUTURAL DO MURO DIVISA COM O IML, LOCALIZADOS NO CEMITÉRIO DE SANTO AMARO, BAIRRO DE SANTO AMARO</t>
  </si>
  <si>
    <t>34.071.337/0001-01</t>
  </si>
  <si>
    <t>FONTE SOUTO CONSTRUÇÕES EIRELI</t>
  </si>
  <si>
    <t>6-052/22</t>
  </si>
  <si>
    <t>CONTRATAÇÃO DE EMPRESA ESPECIALIZADA EM ENGENHARIA SANITÁRIA PARA A EXECUÇÃO DOS SERVIÇOS DE COLETA E LIMPEZA URBANA NO MUNICÍPIO DO RECIFE</t>
  </si>
  <si>
    <t>6-053/21</t>
  </si>
  <si>
    <t>CONCORRÊNCIA Licitação: 009/2022</t>
  </si>
  <si>
    <t>CONTRATAÇÃO DE EMPRESA DE ENGENHARIA PARA EXECUÇÃO DA RECUPERAÇÃO ESTRUTURAL E MANUTENÇÃO PREVENTIVA E CORRETIVA DAS TORRES DE ILUMINAÇÃO PÚBLICA DA ORLA DA AVENIDA BOA VIAGEM, RECIFE/PE</t>
  </si>
  <si>
    <t>6-053/22</t>
  </si>
  <si>
    <t>CONCORRÊNCIA Licitação: 007/2022</t>
  </si>
  <si>
    <t>CONTRATAÇÃO DE EMPRESA DE ENGENHARIA ESPECIALIZADA EM ILUMINAÇÃO PÚBLICA, PARA FORNECIMENTO E INSTALAÇÃO DE LUMINÁRIAS RGB COM TECNOLOGIA LED E REDE ELÉTRICA, PARA ILUMINAÇÃO CÊNICA DO PARQUE DAS ESCULTURAS DE BRENNAND</t>
  </si>
  <si>
    <t>6-054/22</t>
  </si>
  <si>
    <t>CONCORRÊNCIA Licitação: 011/2021</t>
  </si>
  <si>
    <t>CONTRATAÇÃO DE SERVIÇOS DE APOIO TÉCNICO AO MONITORAMENTO DAS AÇÕES DE MANUTENÇÃO DO SISTEMA VIÁRIO DA CIDADE DO RECIFE</t>
  </si>
  <si>
    <t>41.075.755/0001-32</t>
  </si>
  <si>
    <t>NORCONSULT PROJETOS E CONSULTORIA LTDA</t>
  </si>
  <si>
    <t>6-055/21</t>
  </si>
  <si>
    <t>CONCORRÊNCIA Licitação: 010/2022</t>
  </si>
  <si>
    <t>ERVIÇOS DE IMPLANTAÇÃO DE DRENAGEM E PAVIMENTAÇÃO NA RUA TABELIÃO JOÃO ROMA, BAIRRO DA VÁRZEA CAXANGÁ</t>
  </si>
  <si>
    <t>6-055/22</t>
  </si>
  <si>
    <t>Pregão Eletrônico Licitação: 032/2021</t>
  </si>
  <si>
    <t>CONTRATAÇÃO DE EMPRESA ESPECIALIZADA NA PRESTAÇÃO DE SERVIÇOS CONTÍNUOS DE PAISAGISMO E CONSERVAÇÃO PREVENTIVA E CORRETIVA DE PARQUES, PRAÇAS, JARDINS E ÁREAS VERDES PÚBLICAS NA CIDADE DO RECIFE - LOTE 01</t>
  </si>
  <si>
    <t>08.963.533/0001-80</t>
  </si>
  <si>
    <t>FAR COMERCIO E SERVIÇOS PAISAGISTICOS LTDA</t>
  </si>
  <si>
    <t>6-056/21</t>
  </si>
  <si>
    <t>CONCORRÊNCIA Licitação: 014/2022</t>
  </si>
  <si>
    <t>SERVIÇOS DE MANUTENÇÃO DO SISTEMA DA MICRODRENAGEM DE ÁGUAS PLUVIAIS DAS RPA'S 4, 5 E 6 DA CIDADE DO RECIFE. LOTE I</t>
  </si>
  <si>
    <t>6-056/22</t>
  </si>
  <si>
    <t>CONTRATAÇÃO DE EMPRESA ESPECIALIZADA NA PRESTAÇÃO DE SERVIÇOS CONTÍNUOS DE PAISAGISMO E CONSERVAÇÃO PREVENTIVA E CORRETIVA DE PARQUES, PRAÇAS, JARDINS E ÁREAS VERDES PÚBLICOS NA CIDADE DO RECIFE - LOTE 02</t>
  </si>
  <si>
    <t>6-057/21</t>
  </si>
  <si>
    <t>SERVIÇOS DE MANUTENÇÃO DO SISTEMA DA MICRODRENAGEM DE ÁGUAS PLUVIAIS DAS RPA'S 4, 5 E 6 DA CIDADE DO RECIFE. LOTE II</t>
  </si>
  <si>
    <t>6-057/22</t>
  </si>
  <si>
    <t>SERVIÇOS DE ENGENHARIA CONSULTIVA PARA APOIO TÉCNICO E GERENCIAL AO PROCESSO DE MONITORAMENTO DAS AÇÕES DE LIMPEZA URBANA E ATIVIDADES DE LOGÍSTICA DO TRANSPORTE DE RESÍDUOS DA CONSTRUÇÃO CIVIL DA CIDADE DO RECIFE, MEDIANTE SUPORTE A IMPLANTAÇÃO E OPERAÇÃO DE UMA CENTRAL DE CONTROLE OPERACIONAL</t>
  </si>
  <si>
    <t>12.285.441/0001-66</t>
  </si>
  <si>
    <t>TPF ENGENHARIA LTDA</t>
  </si>
  <si>
    <t>6-058/21</t>
  </si>
  <si>
    <t>CONCORRÊNCIA Licitação: 013/2022</t>
  </si>
  <si>
    <t>REQUALIFICAÇÃO DE DRENAGEM E PAVIMENTAÇÃO DAS RUAS CASTRO ALVES, ENGENHEIRO LUIZ VAUTHIER, RUA DA CORAGEM, RUA PROFESSOR MIRANDA CURIÓ E RUA DONA JULIETA, LOCALIZADAS NO BAIRRO DA ENCRUZILHADA</t>
  </si>
  <si>
    <t>11.481.173/0001-95</t>
  </si>
  <si>
    <t>ETNA ENGENHARIA E TERRAPLANAGEM NACIONAL LTDA</t>
  </si>
  <si>
    <t>6-058/22</t>
  </si>
  <si>
    <t>CONCORRÊNCIA Licitação: 012/2022</t>
  </si>
  <si>
    <t>REQUALIFICAÇÃO DA DRENAGEM E PAVIMENTAÇÃO DA RUA IMPERIAL E DA DRENAGEM DA AV. SUL, TRECHO COMPREENDIDO ENTRE A TRAVESSA DO GASPAR E AV. DANTAS BARRETO, BAIRRO DE SÃO JOSÉ</t>
  </si>
  <si>
    <t>6-059/22</t>
  </si>
  <si>
    <t>TOMADA DE PREÇOS Licitação: 007/2021</t>
  </si>
  <si>
    <t>CONTRATAÇÃO DE EMPRESA ESPECIALIZADA NO RAMO DE ENGENHARIA PARA EXECUÇÃO DOS SERVIÇOS DE IMPLANTAÇÃO DE PAVIMENTAÇÃO, DRENAGEM, ACESSIBILIDADE E SINALIZAÇÃO DAS RUAS BENJAMIN FONSECA - LOTE 1.  JOSÉ MOLITERNO - LOTE 2, SITUADAS NA CIDADE DO RECIFE</t>
  </si>
  <si>
    <t>884436/2019</t>
  </si>
  <si>
    <t>6-060/21</t>
  </si>
  <si>
    <t>CONCORRÊNCIA Licitação: 011/2022</t>
  </si>
  <si>
    <t>REQUALIFICAÇÃO DA DRENAGEM E PAVIMENTAÇÃO DA RUA DA CONCÓRDIA, TRECHO COMPREENDIDO ENTRE A RUA MUNIZ E RUA FREI CANECA, BAIRRO DE SÃO JOSÉ</t>
  </si>
  <si>
    <t>6-060/22</t>
  </si>
  <si>
    <t>6-061/21</t>
  </si>
  <si>
    <t>CREDENCIAMENTO Licitação: 001/2022</t>
  </si>
  <si>
    <t>CREDENCIAMENTO DE EMPRESA ESPECIALIZADA EM ENGENHARIA SANITÁRIA PARA EXECUTAR OS SERVIÇOS DE RECOLHIMENTO, TRANSPORTE, TRATAMENTO E DISPOSIÇÃO FINAL AMBIENTALMENTE CORRETA DE RESÍDUO LÍQUIDO LIXIVIADO ORIUNDO DO ATERRO DESATIVADO DA MURIBECA SOB A RESPONSABILIDADE DESTA AUTARQUIA</t>
  </si>
  <si>
    <t>6-061/22</t>
  </si>
  <si>
    <t>TOMADA DE PREÇOS Licitação: 008/2021</t>
  </si>
  <si>
    <t>SERVIÇOS DE IMPLANTAÇÃO DE PAVIMENTAÇÃO, DRENAGEM, ACESSIBILIDADE E SINALIZAÇÃO DA RUA FRANCISCO VITA TRECHO, ENTRE A AV. CAXANGA E A RUA ALAIDE LOCALIZADA NO BAIRRO DO CORDEIRO NA CIDADE DO RECIFE PE</t>
  </si>
  <si>
    <t>6-062/21</t>
  </si>
  <si>
    <t>TOMADA DE PREÇOS Licitação: 004/2022</t>
  </si>
  <si>
    <t>CONTRATAÇÃO DE EMPRESA ESPECIALIZADA NO RAMO DE ENGENHARIA PARA EXECUÇÃO DOS SERVIÇOS DE IMPLEMENTAÇÃO DE PRAÇA PARA A INFÂNCIA NA PRAÇA DOM MIGUEL VALVERDE, ENCRUZILHADA - RECIFE/PE</t>
  </si>
  <si>
    <t>08.135.535/0001-81</t>
  </si>
  <si>
    <t>CONSTRUTORA FJ LTDA</t>
  </si>
  <si>
    <t>6-062/22</t>
  </si>
  <si>
    <t>CONCORRÊNCIA Licitação: 016/2021</t>
  </si>
  <si>
    <t>SERVIÇOS DE RECUPERAÇÃO ESTRUTURAL DA PONTE RODOVIÁRIA, DENOMINADA ANTIGA PONTE GIRATÓRIA, QUE LIGA O BAIRRO DE SÃO JOSÉ AO BAIRRO DO RECIFE NA CIDADE DO RECIFE - PE</t>
  </si>
  <si>
    <t>00.507.949/0001-82</t>
  </si>
  <si>
    <t>JATOBETON ENGENHARIA LTDA</t>
  </si>
  <si>
    <t>6-063/21</t>
  </si>
  <si>
    <t>CONCORRÊNCIA / Nº 013/2021</t>
  </si>
  <si>
    <t>CONTRATAÇÃO DE EMPRESA DE PRODUÇÃO DE ARTES E ILUMINAÇÃO CÊNICA PARA EXECUÇÃO DOS SERVIÇOS DE VÍDEO MAPPING E PROJEÇÃO HOLOGRÁFICA EM CORTINA D`ÁGUA NO RIO CAPIBARIBE</t>
  </si>
  <si>
    <t>20.165.281/0001-40</t>
  </si>
  <si>
    <t>TNP PRODUCOES DE EVENTOS LTDA</t>
  </si>
  <si>
    <t>6-064/21</t>
  </si>
  <si>
    <t>CONCORRÊNCIA Licitação: 001/2021</t>
  </si>
  <si>
    <t>CONTRATAÇÃO DE EMPRESA SANITÁRIA ESPECIALIZADA PARA A EXECUÇÃO DOS SERVIÇOS DE COLETA E LIMPEZA URBANA NO MUNICÍPIO DO RECIFE. LOTE 1</t>
  </si>
  <si>
    <t>45.791.369/0001-06</t>
  </si>
  <si>
    <t>Consórcio Recife Ambiental</t>
  </si>
  <si>
    <t>6-064/22</t>
  </si>
  <si>
    <t>CONTRATAÇÃO DE EMPRESA SANITÁRIA ESPECIALIZADA PARA A EXECUÇÃO DOS SERVIÇOS DE COLETA E LIMPEZA URBANA NO MUNICÍPIO DO RECIFE. LOTE 2</t>
  </si>
  <si>
    <t>6-065/22</t>
  </si>
  <si>
    <t>CONCORRÊNCIA Licitação: 018/2022</t>
  </si>
  <si>
    <t>CONTRATAÇÃO DE EMPRESA DE ENGENHARIA PARA PRESTAÇÃO DOS SERVIÇOS DE MANUTENÇÃO DO ENROCAMENTO DE PEDRAS DA PROTEÇÃO EXISTENTE NA ORLA DE BOA VIAGEM, RECIFE/PE</t>
  </si>
  <si>
    <t>70.086.111/0001-48</t>
  </si>
  <si>
    <t>COASTAL - CONSTRUÇÕES E SOLUÇÕES TÉCNICAS AMBIENTAIS EIRELI</t>
  </si>
  <si>
    <t>6-066/22</t>
  </si>
  <si>
    <t>CONCORRÊNCIA Licitação: 019/2022</t>
  </si>
  <si>
    <t>SERVIÇOS DE MANUTENÇÃO PREVENTIVA (IMPLANTANÇÃO, REQUALIFICAÇÃO E/OU RECAPEAMENTO DE VIAS) EM CONCRETO BETUMINOSO USINADO À QUENTE - CBUQ DO SISTEMA VIÁRIO DA CIDADE DO RECIFE. LOTE I - RPA 01</t>
  </si>
  <si>
    <t>001/2022</t>
  </si>
  <si>
    <t>SEINFRA-PE</t>
  </si>
  <si>
    <t>6-069/22</t>
  </si>
  <si>
    <t>SERVIÇOS DE MANUTENÇÃO PREVENTIVA (IMPLANTANÇÃO, REQUALIFICAÇÃO E/OU RECAPEAMENTO DE VIAS) EM CONCRETO BETUMINOSO USINADO À QUENTE - CBUQ DO SISTEMA VIÁRIO DA CIDADE DO RECIFE LOTE II - RPA 02 E 03.</t>
  </si>
  <si>
    <t xml:space="preserve">AGC CONSTRUTORA E EMPREENDIMENTOS LTDA      </t>
  </si>
  <si>
    <t>6-070/22</t>
  </si>
  <si>
    <t>SERVIÇOS DE MANUTENÇÃO PREVENTIVA (IMPLANTANÇÃO, REQUALIFICAÇÃO E/OU RECAPEAMENTO DE VIAS) EM CONCRETO BETUMINOSO USINADO À QUENTE - CBUQ DO SISTEMA VIÁRIO DA CIDADE DO RECIFE. LOTE III - RPA 04 E 05</t>
  </si>
  <si>
    <t>6-071/22</t>
  </si>
  <si>
    <t>SERVIÇOS DE MANUTENÇÃO PREVENTIVA (IMPLANTANÇÃO, REQUALIFICAÇÃO E/OU RECAPEAMENTO DE VIAS) EM CONCRETO BETUMINOSO USINADO À QUENTE - CBUQ DO SISTEMA VIÁRIO DA CIDADE DO RECIFE. LOTE IV - RPA 06</t>
  </si>
  <si>
    <t>6-072/22</t>
  </si>
  <si>
    <t>CONCORRÊNCIA Licitação: 020/2022</t>
  </si>
  <si>
    <t>SERVIÇOS DE MANUTENÇÃO CORRETIVA DE VIAS NÃO PAVIMENTADAS DO SISTEMA VIÁRIO DA CIDADE DO RECIFE/PE</t>
  </si>
  <si>
    <t>6-073/22</t>
  </si>
  <si>
    <t>TOMADA DE PREÇOS Licitação: 006/2022</t>
  </si>
  <si>
    <t>SERVIÇOS DE MANUTENÇÃO PREVENTIVA E CORRETIVA EM FONTES LUMINOSAS PÚBLICAS LOCALIZADAS NA CIDADE DO RECIFE</t>
  </si>
  <si>
    <t>6-074/22</t>
  </si>
  <si>
    <t>CONCORRÊNCIA Licitação: 008/2022</t>
  </si>
  <si>
    <t>SERVIÇOS DE RECUPERAÇÃO ESTRUTURAL DA PONTE SANTA ISABEL, QUE LIGA O BAIRRO DA BOA VISTA AO BAIRRO SANTO ANTÔNIO NA CIDADE DO RECIFE/PE (PONTE PRINCESA ISABEL)</t>
  </si>
  <si>
    <t>08.064.693/0001-98</t>
  </si>
  <si>
    <t>CONCREPOXI ENGENHARIA LTDA</t>
  </si>
  <si>
    <t>6-075/22</t>
  </si>
  <si>
    <t>CONCORRÊNCIA Licitação: 015/2022</t>
  </si>
  <si>
    <t>CONTRATAÇÃO DE EMPRESA DE ENGENHARIA ESPECIALIZADA EM ILUMINAÇÃO PÚBLICA, PARA FORNECIMENTO E INSTALAÇÃO DE LUMINÁRIA COM TECNOLOGIA LED E REDE ELÉTRICA, PARA ILUMINAÇÃO PEDONAL DO POLÍGONO VIÁRIO DA AGAMENON MAGALHÃES, RECIFE-PE</t>
  </si>
  <si>
    <t>6-076/22</t>
  </si>
  <si>
    <t>TOMADA DE PREÇOS Licitação: 005/2022</t>
  </si>
  <si>
    <t>SERVIÇOS DE MANUTENÇÃO E RECUPERAÇÃO AMBIENTAL DO ATERRO CONTROLADO DA MURIBECA</t>
  </si>
  <si>
    <t>6-077/22</t>
  </si>
  <si>
    <t>PREGÃO ELETRÔNICO Licitação: 044/2022</t>
  </si>
  <si>
    <t>SERVIÇOS DE ENGENHARIA DE BAIXA COMPLEXIDADE PARA O FECHAMENTO DE EDIFICAÇÕES E ÁREAS PÚBLICAS, COM TAPUMES DE MADEIRA, DURANTE O PERÍODO DE CARNAVAL DO ANO DE 2023, E RETIRADA APÓS ESTE PERÍODO, ONDE EXISTE RISCO DE DESABAMENTO E DEPEDRAÇÕES. LOTE I</t>
  </si>
  <si>
    <t>6-078/22</t>
  </si>
  <si>
    <t>SERVIÇOS DE ENGENHARIA DE BAIXA COMPLEXIDADE PARA O FECHAMENTO DE EDIFICAÇÕES E ÁREAS PÚBLICAS, COM TAPUMES DE MADEIRA, DURANTE O PERÍODO DE CARNAVAL DO ANO DE 2023, E RETIRADA APÓS ESTE PERÍODO, ONDE EXISTE RISCO DE DESABAMENTO E DEPEDRAÇÕES. LOTE II</t>
  </si>
  <si>
    <t>6-079/22</t>
  </si>
  <si>
    <t>SERVIÇOS DE ENGENHARIA DE BAIXA COMPLEXIDADE PARA O FECHAMENTO DE EDIFICAÇÕES E ÁREAS PÚBLICAS, COM TAPUMES DE MADEIRA, DURANTE O PERÍODO DE CARNAVAL DO ANO DE 2023, E RETIRADA APÓS ESTE PERÍODO, ONDE EXISTE RISCO DE DESABAMENTO E DEPEDRAÇÕES. LOTE III</t>
  </si>
  <si>
    <t>6-080/22</t>
  </si>
  <si>
    <t>encerrado</t>
  </si>
  <si>
    <t>6-001/23</t>
  </si>
  <si>
    <t>CONCORRÊNCIA Licitação: 023/2022</t>
  </si>
  <si>
    <t>SERVIÇOS DE MANUTENÇÃO CORRETIVA (OPERAÇÃO TAPA BURACO) EM CONCRETO BETUMINOSO USINADO À QUENTE - CBUQ, EM CONCRETO PRÉ MISTURADO A FRIO - PMF, DO SISTEMA VIÁRIO DA CIDADE DO RECIFE. LOTE I, RPA 01</t>
  </si>
  <si>
    <t>6-002/23</t>
  </si>
  <si>
    <t>6-003/23</t>
  </si>
  <si>
    <t>SERVIÇOS DE MANUTENÇÃO CORRETIVA (OPERAÇÃO TAPA BURACO) EM CONCRETO BETUMINOSO USINADO À QUENTE - CBUQ, EM CONCRETO PRÉ MISTURADO A FRIO - PMF, DO SISTEMA VIÁRIO DA CIDADE DO RECIFE. LOTE III - RPA 04 E 05</t>
  </si>
  <si>
    <t>6-004/23</t>
  </si>
  <si>
    <t>SERVIÇOS DE MANUTENÇÃO CORRETIVA (OPERAÇÃO TAPA BURACO) EM CONCRETO BETUMINOSO USINADO À QUENTE - CBUQ, EM CONCRETO PRÉ MISTURADO A FRIO - PMF, DO SISTEMA VIÁRIO DA CIDADE DO RECIFE. LOTE IV - RPA 06</t>
  </si>
  <si>
    <t>SERVIÇOS DE MANUTENÇÃO CORRETIVA (OPERAÇÃO TAPA BURACO) EM CONCRETO BETUMINOSO USINADO À QUENTE - CBUQ, EM CONCRETO PRÉ MISTURADO A FRIO - PMF, DO SISTEMA VIÁRIO DA CIDADE DO RECIFE. LOTE II - RPA 02 E 03</t>
  </si>
  <si>
    <t>6-006/23</t>
  </si>
  <si>
    <t>TOMADA DE PREÇOS Licitação: 008/2022</t>
  </si>
  <si>
    <t>IMPLEMENTAÇÃO DE PRAÇAS PARA A INFÂNCIA, NA PRAÇA SAN MARTIN E NO COMPAZ MIGUEL ARRAES DA CIDADE DO RECIFE</t>
  </si>
  <si>
    <t>6-008/23</t>
  </si>
  <si>
    <t>CONTRAÇÃO DE POSTO DE SERVIÇOS PARA A LIMPEZA DOS SANITÁRIOS PÚBLICOS DA CIDADE DO RECIFE</t>
  </si>
  <si>
    <t>REDE LOCAÇÃO DE MÃO DE OBRA TEMPORÁRIA LTDA</t>
  </si>
  <si>
    <t>14.757.507/0001-07</t>
  </si>
  <si>
    <t>PREGÃO ELETRÔNICO Licitação: 024/2022</t>
  </si>
  <si>
    <t>6-009/23</t>
  </si>
  <si>
    <t>CONCORRÊNCIA Licitação: 022/2022</t>
  </si>
  <si>
    <t>EXECUÇÃO DE OBRAS DE IMPLANTAÇÃO DE DRENAGEM PLUVIAL E PAVIMENTAÇÃO DE RUAS DA CIDADE DO RECIFE, LOCALIZADAS NOS BAIRROS DE SÍTIO DOS PINTOS, BOA VIAGEM E POÇO DA PANELA.    LOTE I</t>
  </si>
  <si>
    <t>07.157.925/0001-90</t>
  </si>
  <si>
    <t>WB CONSTRUTORA LTDA</t>
  </si>
  <si>
    <t>6-010/23</t>
  </si>
  <si>
    <t>EXECUÇÃO DE OBRAS DE IMPLANTAÇÃO DE DRENAGEM PLUVIAL E PAVIMENTAÇÃO DE RUAS DA CIDADE DO RECIFE, LOCALIZADAS NOS BAIRROS DE SÍTIO DOS PINTOS, BOA VIAGEM E POÇO DA PANELA.   LOTE II</t>
  </si>
  <si>
    <t>6-011/23</t>
  </si>
  <si>
    <t>CONCORRÊNCIA Licitação: 025/2022</t>
  </si>
  <si>
    <t>EXECUÇÃO DOS SERVIÇOS DE IMPLANTAÇÃO DA REDE DE DRENAGEM DE ÁGUAS PLUVIAIS E PAVIMENTAÇÃO DE VIAS EM DIVERSAS RPA'S DA CIDADE DO RECIFE</t>
  </si>
  <si>
    <t>03.400.040/0001-19</t>
  </si>
  <si>
    <t>TOPEC EMPREENDIMENTOS E SERVICOS LTDA</t>
  </si>
  <si>
    <t>6-012/23</t>
  </si>
  <si>
    <t>PREGÃO ELETRÔNICO Licitação: 049/2022</t>
  </si>
  <si>
    <t>CONSTRUÇÃO DE MÓDULOS 44A, 49A E 68A (GAVETAS E OSSUÁRIOS) NO CEMITÉRIO DE SANTO AMARO – BAIRRO DE SANTO AMARO. (NÚMERO DE PROCESSO: 15.001238/2022-15)</t>
  </si>
  <si>
    <t>6-013/23</t>
  </si>
  <si>
    <t>CONTRATAÇÃO DE EMPRESA DE ENGENHARIA CONSULTIVA, ESPECIALIZADA EM PROJETO DE ILUMINAÇÃO CÊNICA E ARQUITETURAL, PARA DESENVOLVIMENTO DE ESTUDOS E ELABORAÇÃO DE PROJETOS DE ILUMINAÇÃO DE PRAÇAS, EDIFICAÇÕES E MONUMENTOS HISTÓRICOS DA CIDADE DO RECIFE</t>
  </si>
  <si>
    <t>13.392.132/0001-58</t>
  </si>
  <si>
    <t>CRX ENGENHARIA LTDA - EPP</t>
  </si>
  <si>
    <t>6-015/23</t>
  </si>
  <si>
    <t>TOMADA DE PREÇOS Licitação: 007/2022</t>
  </si>
  <si>
    <t>INEXIGIBILIDADE Licitação: 001/2023</t>
  </si>
  <si>
    <t>CONTRATAÇÃO DE EMPRESA PARA PRESTAÇÃO DO SERVIÇO DE LIMPEZA DE CANAL UTILIZANDO-SE DO PROCESSO DE BARRAGEM MÓVEL EM DIVERSOS CANAIS DA CIDADE DO RECIFE. (NÚMERO DO PROCESSO: 15.001035/2023-00)</t>
  </si>
  <si>
    <t>6-018/23</t>
  </si>
  <si>
    <t>6-019/23</t>
  </si>
  <si>
    <t>CONCORRÊNCIA Licitação: 021/2022</t>
  </si>
  <si>
    <t>EXECUÇÃO DOS SERVIÇOS DE IMPLANTAÇÃO DA REDE DE DRENAGEM COM A UTILIZAÇÃO DE TUBOS DE PEAD, E COBERTURA COM PAVIMENTO RÍGIDO OU FLEXÍVEL. LOTE I</t>
  </si>
  <si>
    <t>06.204.246/0001-61</t>
  </si>
  <si>
    <t>ECAM TERRAPLENAGEM E PAVIMENTACAO LTDA</t>
  </si>
  <si>
    <t>6-020/23</t>
  </si>
  <si>
    <t>EXECUÇÃO DOS SERVIÇOS DE IMPLANTAÇÃO DA REDE DE DRENAGEM COM A UTILIZAÇÃO DE TUBOS DE PEAD, E COBERTURA COM PAVIMENTO RÍGIDO OU FLEXÍVEL. LOTE II</t>
  </si>
  <si>
    <t>em elaboração</t>
  </si>
  <si>
    <t>EXECUÇÃO DOS SERVIÇOS DE IMPLANTAÇÃO DA REDE DE DRENAGEM COM A UTILIZAÇÃO DE TUBOS DE PEAD, E COBERTURA COM PAVIMENTO RÍGIDO OU FLEXÍVEL. LOTE III</t>
  </si>
  <si>
    <t>6-021/23</t>
  </si>
  <si>
    <t>CONCORRÊNCIA Licitação: 024/2022</t>
  </si>
  <si>
    <t>RECUPERAÇÃO DE PASSARELAS, PONTILHÕES E ELEMENTOS LIMITADORES DE ESPAÇO OU PROTEÇÃO, NAS DIVERSAS RPA'S NA CIDADE DO RECIFE</t>
  </si>
  <si>
    <t>6-022/23</t>
  </si>
  <si>
    <t>TOMADA DE PREÇOS Licitação: 009/2022</t>
  </si>
  <si>
    <t>CONCORRÊNCIA Licitação: 015/2021</t>
  </si>
  <si>
    <t>PREGÃO ELETRÔNICO Licitação: 026/2021</t>
  </si>
  <si>
    <t>CONCORRÊNCIA Licitação: 019/2019</t>
  </si>
  <si>
    <t>CONCORRÊNCIA Licitação: 002/2020</t>
  </si>
  <si>
    <t>CONCORRÊNCIA Licitação: 016/2020</t>
  </si>
  <si>
    <t>CONCORRÊNCIA Licitação: 002/2021</t>
  </si>
  <si>
    <t>DISP 003/2020</t>
  </si>
  <si>
    <t>TOMADA DE PREÇOS Licitação: 001/2020</t>
  </si>
  <si>
    <t>INEX 009/2021</t>
  </si>
  <si>
    <t>CONCORRÊNCIA / nº 017/2020</t>
  </si>
  <si>
    <t>CONCORRÊNCIA / nº 014/2020</t>
  </si>
  <si>
    <t>CONCORRÊNCIA / nº 012/2020</t>
  </si>
  <si>
    <t>CONTRATAÇÃO DE EMPRESA ESPECIALIZADA NO RAMO DE ENGENHARIA PARA EXECUÇÃO DOS SERVIÇOS DE REQUALIFICAÇÃO DA PASSARELA DO PINA E URBANISMO DO SEU ENTORNO</t>
  </si>
  <si>
    <t>6-023/23</t>
  </si>
  <si>
    <t>CONCORRÊNCIA Licitação: 028/2022</t>
  </si>
  <si>
    <t>SERVIÇOS DE IMPLANTAÇÃO DA REDE DE DRENAGEM DE ÁGUAS PLUVIAIS, E PAVIMENTAÇÃO DE VIAS EM DIVERSAS RPA'S DA CIDADE DO RECIFE</t>
  </si>
  <si>
    <t>007101/2022</t>
  </si>
  <si>
    <t xml:space="preserve">BRB </t>
  </si>
  <si>
    <t>40.00017-6</t>
  </si>
  <si>
    <t>BANCO DO BRASIL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</si>
</sst>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\ ;\-#,##0.00\ ;&quot; -&quot;#\ ;@\ "/>
    <numFmt numFmtId="165" formatCode="#,##0.00_ ;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8"/>
  <sheetViews>
    <sheetView tabSelected="1" view="pageBreakPreview" zoomScale="60" workbookViewId="0">
      <selection activeCell="O71" sqref="O71"/>
    </sheetView>
  </sheetViews>
  <sheetFormatPr defaultColWidth="9.15234375" defaultRowHeight="10.75"/>
  <cols>
    <col min="1" max="1" width="22.84375" style="2" customWidth="1"/>
    <col min="2" max="2" width="75.61328125" style="2" bestFit="1" customWidth="1"/>
    <col min="3" max="3" width="13.69140625" style="3" bestFit="1" customWidth="1"/>
    <col min="4" max="4" width="20.84375" style="10" bestFit="1" customWidth="1"/>
    <col min="5" max="5" width="16.61328125" style="10" bestFit="1" customWidth="1"/>
    <col min="6" max="6" width="14.84375" style="10" customWidth="1"/>
    <col min="7" max="7" width="13.53515625" style="4" customWidth="1"/>
    <col min="8" max="8" width="30.4609375" style="32" customWidth="1"/>
    <col min="9" max="9" width="9.3046875" style="4" customWidth="1"/>
    <col min="10" max="10" width="9.69140625" style="33" customWidth="1"/>
    <col min="11" max="11" width="7.53515625" style="4" customWidth="1"/>
    <col min="12" max="12" width="10.69140625" style="10" customWidth="1"/>
    <col min="13" max="13" width="12.3046875" style="33" customWidth="1"/>
    <col min="14" max="14" width="11.3046875" style="4" customWidth="1"/>
    <col min="15" max="15" width="13" style="10" customWidth="1"/>
    <col min="16" max="16" width="14.3828125" style="10" customWidth="1"/>
    <col min="17" max="17" width="11.765625" style="4" customWidth="1"/>
    <col min="18" max="18" width="12" style="34" customWidth="1"/>
    <col min="19" max="19" width="11.84375" style="10" customWidth="1"/>
    <col min="20" max="20" width="13.3046875" style="10" customWidth="1"/>
    <col min="21" max="21" width="12.4609375" style="10" customWidth="1"/>
    <col min="22" max="22" width="10.61328125" style="32" bestFit="1" customWidth="1"/>
    <col min="23" max="23" width="9.84375" style="2" bestFit="1" customWidth="1"/>
    <col min="24" max="24" width="9.23046875" style="2" bestFit="1" customWidth="1"/>
    <col min="25" max="25" width="9.69140625" style="2" bestFit="1" customWidth="1"/>
    <col min="26" max="26" width="8.765625" style="2" bestFit="1" customWidth="1"/>
    <col min="27" max="27" width="13.3046875" style="10" bestFit="1" customWidth="1"/>
    <col min="28" max="28" width="11.3828125" style="10" customWidth="1"/>
    <col min="29" max="39" width="9.15234375" style="2"/>
    <col min="40" max="40" width="12.15234375" style="10" bestFit="1" customWidth="1"/>
    <col min="41" max="16384" width="9.15234375" style="2"/>
  </cols>
  <sheetData>
    <row r="1" spans="1:40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45"/>
      <c r="W1" s="1"/>
      <c r="AA1" s="2"/>
      <c r="AB1" s="2"/>
      <c r="AN1" s="2"/>
    </row>
    <row r="2" spans="1:40">
      <c r="A2" s="46" t="s">
        <v>1</v>
      </c>
      <c r="B2" s="46"/>
      <c r="C2" s="46"/>
      <c r="D2" s="46"/>
      <c r="E2" s="46"/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1"/>
      <c r="AA2" s="2"/>
      <c r="AB2" s="2"/>
      <c r="AN2" s="2"/>
    </row>
    <row r="3" spans="1:40">
      <c r="A3" s="37" t="s">
        <v>2</v>
      </c>
      <c r="B3" s="37"/>
      <c r="C3" s="37"/>
      <c r="D3" s="37"/>
      <c r="E3" s="37"/>
      <c r="F3" s="3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1"/>
      <c r="AA3" s="2"/>
      <c r="AB3" s="2"/>
      <c r="AN3" s="2"/>
    </row>
    <row r="4" spans="1:40">
      <c r="A4" s="15" t="s">
        <v>32</v>
      </c>
      <c r="B4" s="18"/>
      <c r="D4" s="20"/>
      <c r="E4" s="21"/>
      <c r="F4" s="41"/>
      <c r="G4" s="41"/>
      <c r="H4" s="41"/>
      <c r="J4" s="42" t="s">
        <v>3</v>
      </c>
      <c r="K4" s="42"/>
      <c r="L4" s="42"/>
      <c r="M4" s="42"/>
      <c r="N4" s="42"/>
      <c r="O4" s="42"/>
      <c r="P4" s="17"/>
      <c r="Q4" s="43" t="s">
        <v>3</v>
      </c>
      <c r="R4" s="43"/>
      <c r="S4" s="43"/>
      <c r="T4" s="43"/>
      <c r="U4" s="43"/>
      <c r="V4" s="44"/>
      <c r="W4" s="1"/>
      <c r="AA4" s="2"/>
      <c r="AB4" s="2"/>
      <c r="AN4" s="2"/>
    </row>
    <row r="5" spans="1:40">
      <c r="A5" s="37" t="s">
        <v>33</v>
      </c>
      <c r="B5" s="37"/>
      <c r="C5" s="37"/>
      <c r="D5" s="20"/>
      <c r="E5" s="20"/>
      <c r="F5" s="38"/>
      <c r="G5" s="38"/>
      <c r="H5" s="38"/>
      <c r="J5" s="39" t="s">
        <v>4</v>
      </c>
      <c r="K5" s="39"/>
      <c r="L5" s="39"/>
      <c r="M5" s="39"/>
      <c r="N5" s="39"/>
      <c r="O5" s="39"/>
      <c r="P5" s="16"/>
      <c r="Q5" s="38" t="s">
        <v>5</v>
      </c>
      <c r="R5" s="38"/>
      <c r="S5" s="38"/>
      <c r="T5" s="38"/>
      <c r="U5" s="38"/>
      <c r="V5" s="40"/>
      <c r="W5" s="5"/>
      <c r="X5" s="5"/>
      <c r="Y5" s="5"/>
      <c r="Z5" s="19">
        <v>45016</v>
      </c>
    </row>
    <row r="6" spans="1:40" s="5" customFormat="1">
      <c r="A6" s="35" t="s">
        <v>6</v>
      </c>
      <c r="B6" s="35" t="s">
        <v>7</v>
      </c>
      <c r="C6" s="35" t="s">
        <v>8</v>
      </c>
      <c r="D6" s="35"/>
      <c r="E6" s="35"/>
      <c r="F6" s="35"/>
      <c r="G6" s="35" t="s">
        <v>9</v>
      </c>
      <c r="H6" s="35"/>
      <c r="I6" s="35" t="s">
        <v>10</v>
      </c>
      <c r="J6" s="35"/>
      <c r="K6" s="35"/>
      <c r="L6" s="35"/>
      <c r="M6" s="35"/>
      <c r="N6" s="35" t="s">
        <v>11</v>
      </c>
      <c r="O6" s="35"/>
      <c r="P6" s="14"/>
      <c r="Q6" s="35" t="s">
        <v>12</v>
      </c>
      <c r="R6" s="35"/>
      <c r="S6" s="35"/>
      <c r="T6" s="35"/>
      <c r="U6" s="35"/>
      <c r="V6" s="36" t="s">
        <v>13</v>
      </c>
      <c r="AA6" s="22"/>
      <c r="AB6" s="22"/>
      <c r="AN6" s="22"/>
    </row>
    <row r="7" spans="1:40" s="7" customFormat="1" ht="42.9">
      <c r="A7" s="35"/>
      <c r="B7" s="35"/>
      <c r="C7" s="23" t="s">
        <v>14</v>
      </c>
      <c r="D7" s="23" t="s">
        <v>15</v>
      </c>
      <c r="E7" s="23" t="s">
        <v>16</v>
      </c>
      <c r="F7" s="23" t="s">
        <v>17</v>
      </c>
      <c r="G7" s="14" t="s">
        <v>18</v>
      </c>
      <c r="H7" s="14" t="s">
        <v>19</v>
      </c>
      <c r="I7" s="14" t="s">
        <v>14</v>
      </c>
      <c r="J7" s="6" t="s">
        <v>20</v>
      </c>
      <c r="K7" s="14" t="s">
        <v>21</v>
      </c>
      <c r="L7" s="23" t="s">
        <v>22</v>
      </c>
      <c r="M7" s="6" t="s">
        <v>23</v>
      </c>
      <c r="N7" s="14" t="s">
        <v>24</v>
      </c>
      <c r="O7" s="23" t="s">
        <v>25</v>
      </c>
      <c r="P7" s="23" t="s">
        <v>26</v>
      </c>
      <c r="Q7" s="14" t="s">
        <v>27</v>
      </c>
      <c r="R7" s="23" t="s">
        <v>28</v>
      </c>
      <c r="S7" s="23" t="s">
        <v>29</v>
      </c>
      <c r="T7" s="23" t="s">
        <v>30</v>
      </c>
      <c r="U7" s="23" t="s">
        <v>31</v>
      </c>
      <c r="V7" s="36"/>
      <c r="AA7" s="24"/>
      <c r="AB7" s="24"/>
      <c r="AN7" s="24"/>
    </row>
    <row r="8" spans="1:40" ht="42.9">
      <c r="A8" s="25" t="s">
        <v>34</v>
      </c>
      <c r="B8" s="25" t="s">
        <v>35</v>
      </c>
      <c r="C8" s="25" t="s">
        <v>36</v>
      </c>
      <c r="D8" s="12" t="s">
        <v>37</v>
      </c>
      <c r="E8" s="12">
        <v>50000000</v>
      </c>
      <c r="F8" s="12">
        <v>0</v>
      </c>
      <c r="G8" s="25" t="s">
        <v>38</v>
      </c>
      <c r="H8" s="25" t="s">
        <v>39</v>
      </c>
      <c r="I8" s="13" t="s">
        <v>40</v>
      </c>
      <c r="J8" s="11">
        <v>44599</v>
      </c>
      <c r="K8" s="13">
        <v>150</v>
      </c>
      <c r="L8" s="12">
        <v>2245061.8199999998</v>
      </c>
      <c r="M8" s="11">
        <f t="shared" ref="M8:M33" si="0">J8+K8+N8</f>
        <v>44959</v>
      </c>
      <c r="N8" s="13">
        <v>210</v>
      </c>
      <c r="O8" s="12">
        <v>444638.12</v>
      </c>
      <c r="P8" s="12">
        <v>0</v>
      </c>
      <c r="Q8" s="13" t="s">
        <v>41</v>
      </c>
      <c r="R8" s="12">
        <v>2689644.17</v>
      </c>
      <c r="S8" s="12">
        <v>0</v>
      </c>
      <c r="T8" s="12">
        <f>S8</f>
        <v>0</v>
      </c>
      <c r="U8" s="12">
        <f>2689644.17+S8</f>
        <v>2689644.17</v>
      </c>
      <c r="V8" s="26" t="s">
        <v>366</v>
      </c>
      <c r="W8" s="9">
        <f t="shared" ref="W8" si="1">U8-R8</f>
        <v>0</v>
      </c>
      <c r="X8" s="9"/>
      <c r="Y8" s="9">
        <f t="shared" ref="Y8" si="2">X8+W8</f>
        <v>0</v>
      </c>
      <c r="Z8" s="8" t="str">
        <f>IF(M8&gt;$Z$5,"and","enc")</f>
        <v>enc</v>
      </c>
    </row>
    <row r="9" spans="1:40" ht="32.15">
      <c r="A9" s="25" t="s">
        <v>433</v>
      </c>
      <c r="B9" s="25" t="s">
        <v>43</v>
      </c>
      <c r="C9" s="25">
        <v>0</v>
      </c>
      <c r="D9" s="12">
        <v>0</v>
      </c>
      <c r="E9" s="12">
        <v>0</v>
      </c>
      <c r="F9" s="12">
        <v>0</v>
      </c>
      <c r="G9" s="25" t="s">
        <v>44</v>
      </c>
      <c r="H9" s="25" t="s">
        <v>45</v>
      </c>
      <c r="I9" s="13" t="s">
        <v>46</v>
      </c>
      <c r="J9" s="11">
        <v>44204</v>
      </c>
      <c r="K9" s="13">
        <v>1125</v>
      </c>
      <c r="L9" s="12">
        <v>17543900.190000001</v>
      </c>
      <c r="M9" s="11">
        <f t="shared" si="0"/>
        <v>45329</v>
      </c>
      <c r="N9" s="13">
        <v>0</v>
      </c>
      <c r="O9" s="12">
        <v>4739810.3600000003</v>
      </c>
      <c r="P9" s="12">
        <v>0</v>
      </c>
      <c r="Q9" s="13" t="s">
        <v>47</v>
      </c>
      <c r="R9" s="12">
        <f>11283033.42+1204074.34</f>
        <v>12487107.76</v>
      </c>
      <c r="S9" s="12">
        <v>892167.18</v>
      </c>
      <c r="T9" s="12">
        <f t="shared" ref="T9:T62" si="3">S9</f>
        <v>892167.18</v>
      </c>
      <c r="U9" s="12">
        <f>11111588.94+S9</f>
        <v>12003756.119999999</v>
      </c>
      <c r="V9" s="26" t="s">
        <v>42</v>
      </c>
      <c r="W9" s="9">
        <f t="shared" ref="W9:W62" si="4">U9-R9</f>
        <v>-483351.6400000006</v>
      </c>
      <c r="X9" s="9">
        <f>237908.29+245443.35</f>
        <v>483351.64</v>
      </c>
      <c r="Y9" s="9">
        <f t="shared" ref="Y9:Y62" si="5">X9+W9</f>
        <v>-5.8207660913467407E-10</v>
      </c>
      <c r="Z9" s="8" t="str">
        <f t="shared" ref="Z9:Z62" si="6">IF(M9&gt;$Z$5,"and","enc")</f>
        <v>and</v>
      </c>
    </row>
    <row r="10" spans="1:40" ht="32.15">
      <c r="A10" s="25" t="s">
        <v>48</v>
      </c>
      <c r="B10" s="25" t="s">
        <v>49</v>
      </c>
      <c r="C10" s="25">
        <v>0</v>
      </c>
      <c r="D10" s="12">
        <v>0</v>
      </c>
      <c r="E10" s="12">
        <v>0</v>
      </c>
      <c r="F10" s="12">
        <v>0</v>
      </c>
      <c r="G10" s="25" t="s">
        <v>38</v>
      </c>
      <c r="H10" s="25" t="s">
        <v>39</v>
      </c>
      <c r="I10" s="13" t="s">
        <v>50</v>
      </c>
      <c r="J10" s="11">
        <v>44589</v>
      </c>
      <c r="K10" s="13">
        <v>760</v>
      </c>
      <c r="L10" s="12">
        <v>1418802</v>
      </c>
      <c r="M10" s="11">
        <f t="shared" si="0"/>
        <v>45349</v>
      </c>
      <c r="N10" s="13">
        <v>0</v>
      </c>
      <c r="O10" s="12">
        <v>353919.51</v>
      </c>
      <c r="P10" s="12">
        <v>0</v>
      </c>
      <c r="Q10" s="13" t="s">
        <v>47</v>
      </c>
      <c r="R10" s="12">
        <f>769737.64+152625.13</f>
        <v>922362.77</v>
      </c>
      <c r="S10" s="12">
        <v>70681.13</v>
      </c>
      <c r="T10" s="12">
        <f t="shared" si="3"/>
        <v>70681.13</v>
      </c>
      <c r="U10" s="12">
        <f>769737.64+S10</f>
        <v>840418.77</v>
      </c>
      <c r="V10" s="26" t="s">
        <v>42</v>
      </c>
      <c r="W10" s="9">
        <f t="shared" si="4"/>
        <v>-81944</v>
      </c>
      <c r="X10" s="9">
        <v>81944</v>
      </c>
      <c r="Y10" s="9">
        <f t="shared" si="5"/>
        <v>0</v>
      </c>
      <c r="Z10" s="8" t="str">
        <f t="shared" si="6"/>
        <v>and</v>
      </c>
    </row>
    <row r="11" spans="1:40" ht="42.9">
      <c r="A11" s="25" t="s">
        <v>51</v>
      </c>
      <c r="B11" s="25" t="s">
        <v>52</v>
      </c>
      <c r="C11" s="25" t="s">
        <v>36</v>
      </c>
      <c r="D11" s="12" t="s">
        <v>37</v>
      </c>
      <c r="E11" s="12">
        <v>50000000</v>
      </c>
      <c r="F11" s="12">
        <v>0</v>
      </c>
      <c r="G11" s="25" t="s">
        <v>38</v>
      </c>
      <c r="H11" s="25" t="s">
        <v>39</v>
      </c>
      <c r="I11" s="13" t="s">
        <v>53</v>
      </c>
      <c r="J11" s="11">
        <v>44589</v>
      </c>
      <c r="K11" s="13">
        <v>760</v>
      </c>
      <c r="L11" s="12">
        <v>3730846.67</v>
      </c>
      <c r="M11" s="11">
        <f t="shared" si="0"/>
        <v>45349</v>
      </c>
      <c r="N11" s="13">
        <v>0</v>
      </c>
      <c r="O11" s="12">
        <v>750887.05</v>
      </c>
      <c r="P11" s="12">
        <v>0</v>
      </c>
      <c r="Q11" s="13" t="s">
        <v>41</v>
      </c>
      <c r="R11" s="12">
        <f>2833670.25+312727.64</f>
        <v>3146397.89</v>
      </c>
      <c r="S11" s="12">
        <v>155536.38</v>
      </c>
      <c r="T11" s="12">
        <f t="shared" si="3"/>
        <v>155536.38</v>
      </c>
      <c r="U11" s="12">
        <f>2833670.25+S11</f>
        <v>2989206.63</v>
      </c>
      <c r="V11" s="26" t="s">
        <v>42</v>
      </c>
      <c r="W11" s="9">
        <f t="shared" si="4"/>
        <v>-157191.26000000024</v>
      </c>
      <c r="X11" s="9">
        <v>157191.26</v>
      </c>
      <c r="Y11" s="9">
        <f t="shared" si="5"/>
        <v>-2.3283064365386963E-10</v>
      </c>
      <c r="Z11" s="8" t="str">
        <f t="shared" si="6"/>
        <v>and</v>
      </c>
    </row>
    <row r="12" spans="1:40" ht="42.9">
      <c r="A12" s="25" t="s">
        <v>432</v>
      </c>
      <c r="B12" s="25" t="s">
        <v>54</v>
      </c>
      <c r="C12" s="25">
        <v>0</v>
      </c>
      <c r="D12" s="12">
        <v>0</v>
      </c>
      <c r="E12" s="12">
        <v>0</v>
      </c>
      <c r="F12" s="12">
        <v>0</v>
      </c>
      <c r="G12" s="25" t="s">
        <v>38</v>
      </c>
      <c r="H12" s="25" t="s">
        <v>39</v>
      </c>
      <c r="I12" s="13" t="s">
        <v>55</v>
      </c>
      <c r="J12" s="11">
        <v>44270</v>
      </c>
      <c r="K12" s="13">
        <v>790</v>
      </c>
      <c r="L12" s="12">
        <v>1459741.65</v>
      </c>
      <c r="M12" s="11">
        <f t="shared" si="0"/>
        <v>45060</v>
      </c>
      <c r="N12" s="13">
        <v>0</v>
      </c>
      <c r="O12" s="12">
        <v>271913.86</v>
      </c>
      <c r="P12" s="12">
        <v>224737.52</v>
      </c>
      <c r="Q12" s="13" t="s">
        <v>47</v>
      </c>
      <c r="R12" s="12">
        <f>1565840.38+195623.38</f>
        <v>1761463.7599999998</v>
      </c>
      <c r="S12" s="12">
        <v>56767.02</v>
      </c>
      <c r="T12" s="12">
        <f t="shared" si="3"/>
        <v>56767.02</v>
      </c>
      <c r="U12" s="12">
        <f>1565840.38+S12</f>
        <v>1622607.4</v>
      </c>
      <c r="V12" s="26" t="s">
        <v>42</v>
      </c>
      <c r="W12" s="9">
        <f t="shared" si="4"/>
        <v>-138856.35999999987</v>
      </c>
      <c r="X12" s="9">
        <f>91841.85+47014.51</f>
        <v>138856.36000000002</v>
      </c>
      <c r="Y12" s="9">
        <f t="shared" si="5"/>
        <v>0</v>
      </c>
      <c r="Z12" s="8" t="str">
        <f t="shared" si="6"/>
        <v>and</v>
      </c>
    </row>
    <row r="13" spans="1:40" ht="42.9">
      <c r="A13" s="25" t="s">
        <v>432</v>
      </c>
      <c r="B13" s="25" t="s">
        <v>56</v>
      </c>
      <c r="C13" s="25">
        <v>0</v>
      </c>
      <c r="D13" s="12">
        <v>0</v>
      </c>
      <c r="E13" s="12">
        <v>0</v>
      </c>
      <c r="F13" s="12">
        <v>0</v>
      </c>
      <c r="G13" s="25" t="s">
        <v>38</v>
      </c>
      <c r="H13" s="25" t="s">
        <v>39</v>
      </c>
      <c r="I13" s="13" t="s">
        <v>57</v>
      </c>
      <c r="J13" s="11">
        <v>44270</v>
      </c>
      <c r="K13" s="13">
        <v>790</v>
      </c>
      <c r="L13" s="12">
        <v>1589764.85</v>
      </c>
      <c r="M13" s="11">
        <f t="shared" si="0"/>
        <v>45060</v>
      </c>
      <c r="N13" s="13">
        <v>0</v>
      </c>
      <c r="O13" s="12">
        <v>337768.38</v>
      </c>
      <c r="P13" s="12">
        <v>0</v>
      </c>
      <c r="Q13" s="13" t="s">
        <v>47</v>
      </c>
      <c r="R13" s="12">
        <f>1779261.53+194815.23</f>
        <v>1974076.76</v>
      </c>
      <c r="S13" s="12">
        <v>74149.279999999999</v>
      </c>
      <c r="T13" s="12">
        <f t="shared" si="3"/>
        <v>74149.279999999999</v>
      </c>
      <c r="U13" s="12">
        <f>1779261.53+S13</f>
        <v>1853410.81</v>
      </c>
      <c r="V13" s="26" t="s">
        <v>42</v>
      </c>
      <c r="W13" s="9">
        <f t="shared" si="4"/>
        <v>-120665.94999999995</v>
      </c>
      <c r="X13" s="9">
        <f>46982.34+73683.61</f>
        <v>120665.95</v>
      </c>
      <c r="Y13" s="9">
        <f t="shared" si="5"/>
        <v>0</v>
      </c>
      <c r="Z13" s="8" t="str">
        <f t="shared" si="6"/>
        <v>and</v>
      </c>
    </row>
    <row r="14" spans="1:40" ht="32.15">
      <c r="A14" s="25" t="s">
        <v>432</v>
      </c>
      <c r="B14" s="25" t="s">
        <v>58</v>
      </c>
      <c r="C14" s="25">
        <v>0</v>
      </c>
      <c r="D14" s="12">
        <v>0</v>
      </c>
      <c r="E14" s="12">
        <v>0</v>
      </c>
      <c r="F14" s="12">
        <v>0</v>
      </c>
      <c r="G14" s="25" t="s">
        <v>38</v>
      </c>
      <c r="H14" s="25" t="s">
        <v>39</v>
      </c>
      <c r="I14" s="13" t="s">
        <v>59</v>
      </c>
      <c r="J14" s="11">
        <v>44270</v>
      </c>
      <c r="K14" s="13">
        <v>790</v>
      </c>
      <c r="L14" s="12">
        <v>1435226.94</v>
      </c>
      <c r="M14" s="11">
        <f t="shared" si="0"/>
        <v>45060</v>
      </c>
      <c r="N14" s="13">
        <v>0</v>
      </c>
      <c r="O14" s="12">
        <v>341654.57999999996</v>
      </c>
      <c r="P14" s="12">
        <v>227678.31</v>
      </c>
      <c r="Q14" s="13" t="s">
        <v>47</v>
      </c>
      <c r="R14" s="12">
        <f>1561876.51+183149.11</f>
        <v>1745025.62</v>
      </c>
      <c r="S14" s="12">
        <v>56801.5</v>
      </c>
      <c r="T14" s="12">
        <f t="shared" si="3"/>
        <v>56801.5</v>
      </c>
      <c r="U14" s="12">
        <f>1561876.51+S14</f>
        <v>1618678.01</v>
      </c>
      <c r="V14" s="26" t="s">
        <v>42</v>
      </c>
      <c r="W14" s="9">
        <f t="shared" si="4"/>
        <v>-126347.6100000001</v>
      </c>
      <c r="X14" s="9">
        <f>46162.89+80184.72</f>
        <v>126347.61</v>
      </c>
      <c r="Y14" s="9">
        <f t="shared" si="5"/>
        <v>0</v>
      </c>
      <c r="Z14" s="8" t="str">
        <f t="shared" si="6"/>
        <v>and</v>
      </c>
    </row>
    <row r="15" spans="1:40" ht="32.15">
      <c r="A15" s="25" t="s">
        <v>431</v>
      </c>
      <c r="B15" s="25" t="s">
        <v>60</v>
      </c>
      <c r="C15" s="25">
        <v>0</v>
      </c>
      <c r="D15" s="12">
        <v>0</v>
      </c>
      <c r="E15" s="12">
        <v>0</v>
      </c>
      <c r="F15" s="12">
        <v>0</v>
      </c>
      <c r="G15" s="25" t="s">
        <v>61</v>
      </c>
      <c r="H15" s="25" t="s">
        <v>62</v>
      </c>
      <c r="I15" s="13" t="s">
        <v>63</v>
      </c>
      <c r="J15" s="11">
        <v>44285</v>
      </c>
      <c r="K15" s="13">
        <v>760</v>
      </c>
      <c r="L15" s="12">
        <v>4242714.5</v>
      </c>
      <c r="M15" s="11">
        <f t="shared" si="0"/>
        <v>45045</v>
      </c>
      <c r="N15" s="13">
        <v>0</v>
      </c>
      <c r="O15" s="12">
        <v>1148494.5</v>
      </c>
      <c r="P15" s="12">
        <v>640391.6</v>
      </c>
      <c r="Q15" s="13" t="s">
        <v>47</v>
      </c>
      <c r="R15" s="12">
        <f>2937717.57+153588.49</f>
        <v>3091306.0599999996</v>
      </c>
      <c r="S15" s="12">
        <v>153588.49</v>
      </c>
      <c r="T15" s="12">
        <f t="shared" si="3"/>
        <v>153588.49</v>
      </c>
      <c r="U15" s="12">
        <f>2937717.57+S15</f>
        <v>3091306.0599999996</v>
      </c>
      <c r="V15" s="26" t="s">
        <v>42</v>
      </c>
      <c r="W15" s="9">
        <f t="shared" si="4"/>
        <v>0</v>
      </c>
      <c r="X15" s="9"/>
      <c r="Y15" s="9">
        <f t="shared" si="5"/>
        <v>0</v>
      </c>
      <c r="Z15" s="8" t="str">
        <f t="shared" si="6"/>
        <v>and</v>
      </c>
    </row>
    <row r="16" spans="1:40" ht="42.9">
      <c r="A16" s="25" t="s">
        <v>64</v>
      </c>
      <c r="B16" s="25" t="s">
        <v>65</v>
      </c>
      <c r="C16" s="25" t="s">
        <v>36</v>
      </c>
      <c r="D16" s="12" t="s">
        <v>37</v>
      </c>
      <c r="E16" s="12">
        <v>50000000</v>
      </c>
      <c r="F16" s="12">
        <v>0</v>
      </c>
      <c r="G16" s="25" t="s">
        <v>66</v>
      </c>
      <c r="H16" s="25" t="s">
        <v>67</v>
      </c>
      <c r="I16" s="13" t="s">
        <v>68</v>
      </c>
      <c r="J16" s="11">
        <v>44610</v>
      </c>
      <c r="K16" s="13">
        <v>150</v>
      </c>
      <c r="L16" s="12">
        <v>811940.61</v>
      </c>
      <c r="M16" s="11">
        <f t="shared" si="0"/>
        <v>44956</v>
      </c>
      <c r="N16" s="13">
        <v>196</v>
      </c>
      <c r="O16" s="12">
        <v>0</v>
      </c>
      <c r="P16" s="12">
        <v>0</v>
      </c>
      <c r="Q16" s="13" t="s">
        <v>41</v>
      </c>
      <c r="R16" s="12">
        <v>692721.56</v>
      </c>
      <c r="S16" s="12"/>
      <c r="T16" s="12">
        <f t="shared" si="3"/>
        <v>0</v>
      </c>
      <c r="U16" s="12">
        <v>692721.56</v>
      </c>
      <c r="V16" s="26" t="s">
        <v>366</v>
      </c>
      <c r="W16" s="9">
        <f t="shared" si="4"/>
        <v>0</v>
      </c>
      <c r="X16" s="9"/>
      <c r="Y16" s="9">
        <f t="shared" si="5"/>
        <v>0</v>
      </c>
      <c r="Z16" s="8" t="str">
        <f t="shared" si="6"/>
        <v>enc</v>
      </c>
    </row>
    <row r="17" spans="1:26" ht="32.15">
      <c r="A17" s="25" t="s">
        <v>431</v>
      </c>
      <c r="B17" s="25" t="s">
        <v>69</v>
      </c>
      <c r="C17" s="25">
        <v>0</v>
      </c>
      <c r="D17" s="12">
        <v>0</v>
      </c>
      <c r="E17" s="12">
        <v>0</v>
      </c>
      <c r="F17" s="12">
        <v>0</v>
      </c>
      <c r="G17" s="25" t="s">
        <v>70</v>
      </c>
      <c r="H17" s="25" t="s">
        <v>71</v>
      </c>
      <c r="I17" s="13" t="s">
        <v>72</v>
      </c>
      <c r="J17" s="11">
        <v>44285</v>
      </c>
      <c r="K17" s="13">
        <v>760</v>
      </c>
      <c r="L17" s="12">
        <v>5068725.74</v>
      </c>
      <c r="M17" s="11">
        <f t="shared" si="0"/>
        <v>45105</v>
      </c>
      <c r="N17" s="13">
        <f>0+60</f>
        <v>60</v>
      </c>
      <c r="O17" s="12">
        <v>954667.4</v>
      </c>
      <c r="P17" s="12">
        <v>765001.36</v>
      </c>
      <c r="Q17" s="13" t="s">
        <v>47</v>
      </c>
      <c r="R17" s="12">
        <f>3166906.64+139895.44</f>
        <v>3306802.08</v>
      </c>
      <c r="S17" s="12">
        <v>53826.84</v>
      </c>
      <c r="T17" s="12">
        <f t="shared" si="3"/>
        <v>53826.84</v>
      </c>
      <c r="U17" s="12">
        <f>3166906.64+S17</f>
        <v>3220733.48</v>
      </c>
      <c r="V17" s="26" t="s">
        <v>42</v>
      </c>
      <c r="W17" s="9">
        <f>U17-R17</f>
        <v>-86068.600000000093</v>
      </c>
      <c r="X17" s="9">
        <v>86068.6</v>
      </c>
      <c r="Y17" s="9">
        <f t="shared" si="5"/>
        <v>0</v>
      </c>
      <c r="Z17" s="8" t="str">
        <f t="shared" si="6"/>
        <v>and</v>
      </c>
    </row>
    <row r="18" spans="1:26" ht="32.15">
      <c r="A18" s="25" t="s">
        <v>431</v>
      </c>
      <c r="B18" s="25" t="s">
        <v>73</v>
      </c>
      <c r="C18" s="25">
        <v>0</v>
      </c>
      <c r="D18" s="12">
        <v>0</v>
      </c>
      <c r="E18" s="12">
        <v>0</v>
      </c>
      <c r="F18" s="12">
        <v>0</v>
      </c>
      <c r="G18" s="25" t="s">
        <v>74</v>
      </c>
      <c r="H18" s="25" t="s">
        <v>75</v>
      </c>
      <c r="I18" s="13" t="s">
        <v>76</v>
      </c>
      <c r="J18" s="11">
        <v>44285</v>
      </c>
      <c r="K18" s="13">
        <v>760</v>
      </c>
      <c r="L18" s="12">
        <v>7317745.6200000001</v>
      </c>
      <c r="M18" s="11">
        <f t="shared" si="0"/>
        <v>45045</v>
      </c>
      <c r="N18" s="13">
        <v>0</v>
      </c>
      <c r="O18" s="12">
        <v>132982.70000000001</v>
      </c>
      <c r="P18" s="12">
        <v>1257436.68</v>
      </c>
      <c r="Q18" s="13" t="s">
        <v>47</v>
      </c>
      <c r="R18" s="12">
        <f>2769626+1091780.03</f>
        <v>3861406.0300000003</v>
      </c>
      <c r="S18" s="12">
        <v>741783.59</v>
      </c>
      <c r="T18" s="12">
        <f t="shared" si="3"/>
        <v>741783.59</v>
      </c>
      <c r="U18" s="12">
        <f>2769626+S18</f>
        <v>3511409.59</v>
      </c>
      <c r="V18" s="26" t="s">
        <v>42</v>
      </c>
      <c r="W18" s="9">
        <f t="shared" si="4"/>
        <v>-349996.44000000041</v>
      </c>
      <c r="X18" s="9">
        <v>349996.44</v>
      </c>
      <c r="Y18" s="9">
        <f t="shared" si="5"/>
        <v>0</v>
      </c>
      <c r="Z18" s="8" t="str">
        <f t="shared" si="6"/>
        <v>and</v>
      </c>
    </row>
    <row r="19" spans="1:26" ht="53.6">
      <c r="A19" s="25" t="s">
        <v>77</v>
      </c>
      <c r="B19" s="25" t="s">
        <v>78</v>
      </c>
      <c r="C19" s="25" t="s">
        <v>79</v>
      </c>
      <c r="D19" s="12" t="s">
        <v>80</v>
      </c>
      <c r="E19" s="12">
        <v>767341</v>
      </c>
      <c r="F19" s="12">
        <v>8000</v>
      </c>
      <c r="G19" s="25" t="s">
        <v>81</v>
      </c>
      <c r="H19" s="25" t="s">
        <v>82</v>
      </c>
      <c r="I19" s="13" t="s">
        <v>83</v>
      </c>
      <c r="J19" s="11">
        <v>44630</v>
      </c>
      <c r="K19" s="13">
        <v>180</v>
      </c>
      <c r="L19" s="12">
        <v>730428.03</v>
      </c>
      <c r="M19" s="11">
        <f t="shared" si="0"/>
        <v>45020</v>
      </c>
      <c r="N19" s="13">
        <v>210</v>
      </c>
      <c r="O19" s="12">
        <v>0</v>
      </c>
      <c r="P19" s="12">
        <v>0</v>
      </c>
      <c r="Q19" s="13" t="s">
        <v>41</v>
      </c>
      <c r="R19" s="12">
        <f>520223.96+203197.09</f>
        <v>723421.05</v>
      </c>
      <c r="S19" s="12">
        <v>397388.08</v>
      </c>
      <c r="T19" s="12">
        <f t="shared" si="3"/>
        <v>397388.08</v>
      </c>
      <c r="U19" s="12">
        <f>S19</f>
        <v>397388.08</v>
      </c>
      <c r="V19" s="26" t="s">
        <v>42</v>
      </c>
      <c r="W19" s="9">
        <f t="shared" si="4"/>
        <v>-326032.97000000003</v>
      </c>
      <c r="X19" s="9">
        <f>321890.01+4142.96</f>
        <v>326032.97000000003</v>
      </c>
      <c r="Y19" s="9">
        <f t="shared" si="5"/>
        <v>0</v>
      </c>
      <c r="Z19" s="8" t="str">
        <f t="shared" si="6"/>
        <v>and</v>
      </c>
    </row>
    <row r="20" spans="1:26" ht="32.15">
      <c r="A20" s="25" t="s">
        <v>431</v>
      </c>
      <c r="B20" s="25" t="s">
        <v>84</v>
      </c>
      <c r="C20" s="25">
        <v>0</v>
      </c>
      <c r="D20" s="12">
        <v>0</v>
      </c>
      <c r="E20" s="12">
        <v>0</v>
      </c>
      <c r="F20" s="12">
        <v>0</v>
      </c>
      <c r="G20" s="25" t="s">
        <v>61</v>
      </c>
      <c r="H20" s="25" t="s">
        <v>62</v>
      </c>
      <c r="I20" s="13" t="s">
        <v>85</v>
      </c>
      <c r="J20" s="11">
        <v>44285</v>
      </c>
      <c r="K20" s="13">
        <v>760</v>
      </c>
      <c r="L20" s="12">
        <v>6534905.3499999996</v>
      </c>
      <c r="M20" s="11">
        <f t="shared" si="0"/>
        <v>45045</v>
      </c>
      <c r="N20" s="13">
        <v>0</v>
      </c>
      <c r="O20" s="12">
        <v>1356122.72</v>
      </c>
      <c r="P20" s="12">
        <v>986199.95</v>
      </c>
      <c r="Q20" s="13" t="s">
        <v>47</v>
      </c>
      <c r="R20" s="12">
        <f>4106532.98+125138.64</f>
        <v>4231671.62</v>
      </c>
      <c r="S20" s="12">
        <v>29491.759999999998</v>
      </c>
      <c r="T20" s="12">
        <f t="shared" si="3"/>
        <v>29491.759999999998</v>
      </c>
      <c r="U20" s="12">
        <f>4106532.98+S20</f>
        <v>4136024.7399999998</v>
      </c>
      <c r="V20" s="26" t="s">
        <v>42</v>
      </c>
      <c r="W20" s="9">
        <f t="shared" si="4"/>
        <v>-95646.880000000354</v>
      </c>
      <c r="X20" s="9">
        <v>95646.88</v>
      </c>
      <c r="Y20" s="9">
        <f t="shared" si="5"/>
        <v>-3.4924596548080444E-10</v>
      </c>
      <c r="Z20" s="8" t="str">
        <f t="shared" si="6"/>
        <v>and</v>
      </c>
    </row>
    <row r="21" spans="1:26" ht="32.15">
      <c r="A21" s="25" t="s">
        <v>430</v>
      </c>
      <c r="B21" s="25" t="s">
        <v>86</v>
      </c>
      <c r="C21" s="25">
        <v>0</v>
      </c>
      <c r="D21" s="12">
        <v>0</v>
      </c>
      <c r="E21" s="12">
        <v>0</v>
      </c>
      <c r="F21" s="12">
        <v>0</v>
      </c>
      <c r="G21" s="25" t="s">
        <v>87</v>
      </c>
      <c r="H21" s="25" t="s">
        <v>88</v>
      </c>
      <c r="I21" s="13" t="s">
        <v>89</v>
      </c>
      <c r="J21" s="11">
        <v>44354</v>
      </c>
      <c r="K21" s="13">
        <v>760</v>
      </c>
      <c r="L21" s="12">
        <v>1940544.76</v>
      </c>
      <c r="M21" s="11">
        <f t="shared" si="0"/>
        <v>45114</v>
      </c>
      <c r="N21" s="13">
        <v>0</v>
      </c>
      <c r="O21" s="12">
        <v>465490.75</v>
      </c>
      <c r="P21" s="12">
        <v>0</v>
      </c>
      <c r="Q21" s="13" t="s">
        <v>47</v>
      </c>
      <c r="R21" s="12">
        <v>1950333.88</v>
      </c>
      <c r="S21" s="12"/>
      <c r="T21" s="12">
        <f t="shared" si="3"/>
        <v>0</v>
      </c>
      <c r="U21" s="12">
        <v>1950333.88</v>
      </c>
      <c r="V21" s="26" t="s">
        <v>42</v>
      </c>
      <c r="W21" s="9">
        <f t="shared" si="4"/>
        <v>0</v>
      </c>
      <c r="X21" s="9"/>
      <c r="Y21" s="9">
        <f t="shared" si="5"/>
        <v>0</v>
      </c>
      <c r="Z21" s="8" t="str">
        <f t="shared" si="6"/>
        <v>and</v>
      </c>
    </row>
    <row r="22" spans="1:26" ht="42.9">
      <c r="A22" s="25" t="s">
        <v>90</v>
      </c>
      <c r="B22" s="25" t="s">
        <v>91</v>
      </c>
      <c r="C22" s="25">
        <v>0</v>
      </c>
      <c r="D22" s="12">
        <v>0</v>
      </c>
      <c r="E22" s="12">
        <v>0</v>
      </c>
      <c r="F22" s="12">
        <v>0</v>
      </c>
      <c r="G22" s="25" t="s">
        <v>92</v>
      </c>
      <c r="H22" s="25" t="s">
        <v>93</v>
      </c>
      <c r="I22" s="13" t="s">
        <v>94</v>
      </c>
      <c r="J22" s="11">
        <v>44635</v>
      </c>
      <c r="K22" s="13">
        <v>1890</v>
      </c>
      <c r="L22" s="12">
        <v>28992600</v>
      </c>
      <c r="M22" s="11">
        <f t="shared" si="0"/>
        <v>46525</v>
      </c>
      <c r="N22" s="13">
        <v>0</v>
      </c>
      <c r="O22" s="12">
        <v>0</v>
      </c>
      <c r="P22" s="12">
        <f>0+1419600</f>
        <v>1419600</v>
      </c>
      <c r="Q22" s="13" t="s">
        <v>47</v>
      </c>
      <c r="R22" s="12">
        <f>4722342.87+864910.21</f>
        <v>5587253.0800000001</v>
      </c>
      <c r="S22" s="12">
        <v>864910.21</v>
      </c>
      <c r="T22" s="12">
        <f t="shared" si="3"/>
        <v>864910.21</v>
      </c>
      <c r="U22" s="12">
        <f>4722342.87+S22</f>
        <v>5587253.0800000001</v>
      </c>
      <c r="V22" s="26" t="s">
        <v>42</v>
      </c>
      <c r="W22" s="9">
        <f t="shared" si="4"/>
        <v>0</v>
      </c>
      <c r="X22" s="9"/>
      <c r="Y22" s="9">
        <f t="shared" si="5"/>
        <v>0</v>
      </c>
      <c r="Z22" s="8" t="str">
        <f t="shared" si="6"/>
        <v>and</v>
      </c>
    </row>
    <row r="23" spans="1:26" ht="21.45">
      <c r="A23" s="25" t="s">
        <v>429</v>
      </c>
      <c r="B23" s="25" t="s">
        <v>95</v>
      </c>
      <c r="C23" s="25">
        <v>0</v>
      </c>
      <c r="D23" s="12">
        <v>0</v>
      </c>
      <c r="E23" s="12">
        <v>0</v>
      </c>
      <c r="F23" s="12">
        <v>0</v>
      </c>
      <c r="G23" s="25" t="s">
        <v>44</v>
      </c>
      <c r="H23" s="25" t="s">
        <v>45</v>
      </c>
      <c r="I23" s="13" t="s">
        <v>96</v>
      </c>
      <c r="J23" s="11">
        <v>44007</v>
      </c>
      <c r="K23" s="13">
        <v>760</v>
      </c>
      <c r="L23" s="12">
        <v>1152030.3799999999</v>
      </c>
      <c r="M23" s="11">
        <f t="shared" si="0"/>
        <v>44947</v>
      </c>
      <c r="N23" s="13">
        <v>180</v>
      </c>
      <c r="O23" s="12">
        <v>0</v>
      </c>
      <c r="P23" s="12">
        <v>0</v>
      </c>
      <c r="Q23" s="13" t="s">
        <v>47</v>
      </c>
      <c r="R23" s="12">
        <v>955092.19</v>
      </c>
      <c r="S23" s="12">
        <v>8480.99</v>
      </c>
      <c r="T23" s="12">
        <f t="shared" si="3"/>
        <v>8480.99</v>
      </c>
      <c r="U23" s="12">
        <f>946611.2+S23</f>
        <v>955092.19</v>
      </c>
      <c r="V23" s="26" t="s">
        <v>366</v>
      </c>
      <c r="W23" s="9">
        <f t="shared" si="4"/>
        <v>0</v>
      </c>
      <c r="X23" s="9"/>
      <c r="Y23" s="9">
        <f t="shared" si="5"/>
        <v>0</v>
      </c>
      <c r="Z23" s="8" t="str">
        <f t="shared" si="6"/>
        <v>enc</v>
      </c>
    </row>
    <row r="24" spans="1:26" ht="32.15">
      <c r="A24" s="25" t="s">
        <v>97</v>
      </c>
      <c r="B24" s="25" t="s">
        <v>98</v>
      </c>
      <c r="C24" s="25">
        <v>0</v>
      </c>
      <c r="D24" s="12">
        <v>0</v>
      </c>
      <c r="E24" s="12">
        <v>0</v>
      </c>
      <c r="F24" s="12">
        <v>0</v>
      </c>
      <c r="G24" s="25" t="s">
        <v>99</v>
      </c>
      <c r="H24" s="25" t="s">
        <v>100</v>
      </c>
      <c r="I24" s="13" t="s">
        <v>101</v>
      </c>
      <c r="J24" s="11">
        <v>44347</v>
      </c>
      <c r="K24" s="13">
        <v>790</v>
      </c>
      <c r="L24" s="12">
        <v>3652773.14</v>
      </c>
      <c r="M24" s="11">
        <f t="shared" si="0"/>
        <v>45137</v>
      </c>
      <c r="N24" s="13">
        <v>0</v>
      </c>
      <c r="O24" s="12">
        <v>399634.42</v>
      </c>
      <c r="P24" s="12">
        <v>418590.06</v>
      </c>
      <c r="Q24" s="13" t="s">
        <v>47</v>
      </c>
      <c r="R24" s="12">
        <f>2677118.04+267557.19</f>
        <v>2944675.23</v>
      </c>
      <c r="S24" s="12">
        <v>309477.03999999998</v>
      </c>
      <c r="T24" s="12">
        <f t="shared" si="3"/>
        <v>309477.03999999998</v>
      </c>
      <c r="U24" s="12">
        <f>2534314.27+S24</f>
        <v>2843791.31</v>
      </c>
      <c r="V24" s="26" t="s">
        <v>42</v>
      </c>
      <c r="W24" s="9">
        <f t="shared" si="4"/>
        <v>-100883.91999999993</v>
      </c>
      <c r="X24" s="9">
        <v>100883.92</v>
      </c>
      <c r="Y24" s="9">
        <f t="shared" si="5"/>
        <v>0</v>
      </c>
      <c r="Z24" s="8" t="str">
        <f t="shared" si="6"/>
        <v>and</v>
      </c>
    </row>
    <row r="25" spans="1:26" ht="32.15">
      <c r="A25" s="25" t="s">
        <v>102</v>
      </c>
      <c r="B25" s="25" t="s">
        <v>103</v>
      </c>
      <c r="C25" s="25">
        <v>0</v>
      </c>
      <c r="D25" s="12">
        <v>0</v>
      </c>
      <c r="E25" s="12">
        <v>0</v>
      </c>
      <c r="F25" s="12">
        <v>0</v>
      </c>
      <c r="G25" s="25" t="s">
        <v>104</v>
      </c>
      <c r="H25" s="25" t="s">
        <v>105</v>
      </c>
      <c r="I25" s="13" t="s">
        <v>106</v>
      </c>
      <c r="J25" s="11">
        <v>44363</v>
      </c>
      <c r="K25" s="13">
        <v>790</v>
      </c>
      <c r="L25" s="12">
        <v>8412130.0600000005</v>
      </c>
      <c r="M25" s="11">
        <f t="shared" si="0"/>
        <v>45153</v>
      </c>
      <c r="N25" s="13">
        <v>0</v>
      </c>
      <c r="O25" s="12">
        <v>1852910.22</v>
      </c>
      <c r="P25" s="12">
        <v>1289394.26</v>
      </c>
      <c r="Q25" s="13" t="s">
        <v>47</v>
      </c>
      <c r="R25" s="12">
        <f>6504718.91+45949.45</f>
        <v>6550668.3600000003</v>
      </c>
      <c r="S25" s="12"/>
      <c r="T25" s="12">
        <f t="shared" si="3"/>
        <v>0</v>
      </c>
      <c r="U25" s="12">
        <f>6504718.91+S25</f>
        <v>6504718.9100000001</v>
      </c>
      <c r="V25" s="26" t="s">
        <v>42</v>
      </c>
      <c r="W25" s="9">
        <f t="shared" si="4"/>
        <v>-45949.450000000186</v>
      </c>
      <c r="X25" s="9">
        <v>45949.45</v>
      </c>
      <c r="Y25" s="9">
        <f t="shared" si="5"/>
        <v>-1.8917489796876907E-10</v>
      </c>
      <c r="Z25" s="8" t="str">
        <f t="shared" si="6"/>
        <v>and</v>
      </c>
    </row>
    <row r="26" spans="1:26" ht="32.15">
      <c r="A26" s="25" t="s">
        <v>428</v>
      </c>
      <c r="B26" s="25" t="s">
        <v>107</v>
      </c>
      <c r="C26" s="25">
        <v>0</v>
      </c>
      <c r="D26" s="12">
        <v>0</v>
      </c>
      <c r="E26" s="12">
        <v>0</v>
      </c>
      <c r="F26" s="12">
        <v>0</v>
      </c>
      <c r="G26" s="25" t="s">
        <v>108</v>
      </c>
      <c r="H26" s="25" t="s">
        <v>109</v>
      </c>
      <c r="I26" s="13" t="s">
        <v>110</v>
      </c>
      <c r="J26" s="11">
        <v>44007</v>
      </c>
      <c r="K26" s="13">
        <v>365</v>
      </c>
      <c r="L26" s="12">
        <v>251180</v>
      </c>
      <c r="M26" s="11">
        <f t="shared" si="0"/>
        <v>45102</v>
      </c>
      <c r="N26" s="13">
        <v>730</v>
      </c>
      <c r="O26" s="12">
        <v>518360</v>
      </c>
      <c r="P26" s="12">
        <v>0</v>
      </c>
      <c r="Q26" s="13" t="s">
        <v>47</v>
      </c>
      <c r="R26" s="12">
        <f>481321.1+29470</f>
        <v>510791.1</v>
      </c>
      <c r="S26" s="12">
        <v>10780</v>
      </c>
      <c r="T26" s="12">
        <f t="shared" si="3"/>
        <v>10780</v>
      </c>
      <c r="U26" s="12">
        <f>481321.1+S26</f>
        <v>492101.1</v>
      </c>
      <c r="V26" s="26" t="s">
        <v>42</v>
      </c>
      <c r="W26" s="9">
        <f t="shared" si="4"/>
        <v>-18690</v>
      </c>
      <c r="X26" s="9">
        <v>18690</v>
      </c>
      <c r="Y26" s="9">
        <f t="shared" si="5"/>
        <v>0</v>
      </c>
      <c r="Z26" s="8" t="str">
        <f t="shared" si="6"/>
        <v>and</v>
      </c>
    </row>
    <row r="27" spans="1:26" ht="21.45">
      <c r="A27" s="25" t="s">
        <v>111</v>
      </c>
      <c r="B27" s="25" t="s">
        <v>112</v>
      </c>
      <c r="C27" s="25" t="s">
        <v>113</v>
      </c>
      <c r="D27" s="12" t="s">
        <v>37</v>
      </c>
      <c r="E27" s="12">
        <v>94508747.5</v>
      </c>
      <c r="F27" s="12">
        <v>0</v>
      </c>
      <c r="G27" s="25" t="s">
        <v>114</v>
      </c>
      <c r="H27" s="25" t="s">
        <v>115</v>
      </c>
      <c r="I27" s="13" t="s">
        <v>116</v>
      </c>
      <c r="J27" s="11">
        <v>44361</v>
      </c>
      <c r="K27" s="13">
        <v>790</v>
      </c>
      <c r="L27" s="12">
        <v>6770337.1399999997</v>
      </c>
      <c r="M27" s="11">
        <f t="shared" si="0"/>
        <v>45151</v>
      </c>
      <c r="N27" s="13">
        <v>0</v>
      </c>
      <c r="O27" s="12">
        <v>861991.3</v>
      </c>
      <c r="P27" s="12">
        <v>952037.17</v>
      </c>
      <c r="Q27" s="13" t="s">
        <v>47</v>
      </c>
      <c r="R27" s="12">
        <f>3780073.69+245899.42</f>
        <v>4025973.11</v>
      </c>
      <c r="S27" s="12"/>
      <c r="T27" s="12">
        <f t="shared" si="3"/>
        <v>0</v>
      </c>
      <c r="U27" s="12">
        <f>3780073.69+S27</f>
        <v>3780073.69</v>
      </c>
      <c r="V27" s="26" t="s">
        <v>42</v>
      </c>
      <c r="W27" s="9">
        <f t="shared" si="4"/>
        <v>-245899.41999999993</v>
      </c>
      <c r="X27" s="9">
        <v>245899.42</v>
      </c>
      <c r="Y27" s="9">
        <f t="shared" si="5"/>
        <v>0</v>
      </c>
      <c r="Z27" s="8" t="str">
        <f t="shared" si="6"/>
        <v>and</v>
      </c>
    </row>
    <row r="28" spans="1:26" ht="53.6">
      <c r="A28" s="25" t="s">
        <v>117</v>
      </c>
      <c r="B28" s="25" t="s">
        <v>118</v>
      </c>
      <c r="C28" s="25" t="s">
        <v>36</v>
      </c>
      <c r="D28" s="12" t="s">
        <v>37</v>
      </c>
      <c r="E28" s="12">
        <v>50000000</v>
      </c>
      <c r="F28" s="12">
        <v>0</v>
      </c>
      <c r="G28" s="25" t="s">
        <v>66</v>
      </c>
      <c r="H28" s="25" t="s">
        <v>67</v>
      </c>
      <c r="I28" s="13" t="s">
        <v>119</v>
      </c>
      <c r="J28" s="11">
        <v>44651</v>
      </c>
      <c r="K28" s="13">
        <v>150</v>
      </c>
      <c r="L28" s="12">
        <v>306496.2</v>
      </c>
      <c r="M28" s="11">
        <f t="shared" si="0"/>
        <v>45189</v>
      </c>
      <c r="N28" s="13">
        <f>208+180</f>
        <v>388</v>
      </c>
      <c r="O28" s="12">
        <f>0+61103.6</f>
        <v>61103.6</v>
      </c>
      <c r="P28" s="12">
        <v>0</v>
      </c>
      <c r="Q28" s="13" t="s">
        <v>41</v>
      </c>
      <c r="R28" s="12">
        <v>0</v>
      </c>
      <c r="S28" s="12"/>
      <c r="T28" s="12">
        <f t="shared" si="3"/>
        <v>0</v>
      </c>
      <c r="U28" s="12">
        <v>0</v>
      </c>
      <c r="V28" s="26" t="s">
        <v>42</v>
      </c>
      <c r="W28" s="9">
        <f t="shared" si="4"/>
        <v>0</v>
      </c>
      <c r="X28" s="9"/>
      <c r="Y28" s="9">
        <f t="shared" si="5"/>
        <v>0</v>
      </c>
      <c r="Z28" s="8" t="str">
        <f t="shared" si="6"/>
        <v>and</v>
      </c>
    </row>
    <row r="29" spans="1:26" ht="42.9">
      <c r="A29" s="25" t="s">
        <v>120</v>
      </c>
      <c r="B29" s="25" t="s">
        <v>121</v>
      </c>
      <c r="C29" s="25">
        <v>0</v>
      </c>
      <c r="D29" s="12">
        <v>0</v>
      </c>
      <c r="E29" s="12">
        <v>0</v>
      </c>
      <c r="F29" s="12">
        <v>0</v>
      </c>
      <c r="G29" s="25" t="s">
        <v>122</v>
      </c>
      <c r="H29" s="25" t="s">
        <v>123</v>
      </c>
      <c r="I29" s="13" t="s">
        <v>124</v>
      </c>
      <c r="J29" s="11">
        <v>44678</v>
      </c>
      <c r="K29" s="13">
        <v>1216</v>
      </c>
      <c r="L29" s="12">
        <v>56414995.560000002</v>
      </c>
      <c r="M29" s="11">
        <f t="shared" si="0"/>
        <v>45894</v>
      </c>
      <c r="N29" s="13">
        <v>0</v>
      </c>
      <c r="O29" s="12">
        <v>0</v>
      </c>
      <c r="P29" s="12">
        <v>0</v>
      </c>
      <c r="Q29" s="13" t="s">
        <v>47</v>
      </c>
      <c r="R29" s="12">
        <f>10822852.25+3081410.88</f>
        <v>13904263.129999999</v>
      </c>
      <c r="S29" s="12">
        <v>3081410.88</v>
      </c>
      <c r="T29" s="12">
        <f t="shared" si="3"/>
        <v>3081410.88</v>
      </c>
      <c r="U29" s="12">
        <f>10822852.25+S29</f>
        <v>13904263.129999999</v>
      </c>
      <c r="V29" s="26" t="s">
        <v>42</v>
      </c>
      <c r="W29" s="9">
        <f t="shared" si="4"/>
        <v>0</v>
      </c>
      <c r="X29" s="9"/>
      <c r="Y29" s="9">
        <f t="shared" si="5"/>
        <v>0</v>
      </c>
      <c r="Z29" s="8" t="str">
        <f t="shared" si="6"/>
        <v>and</v>
      </c>
    </row>
    <row r="30" spans="1:26" ht="42.9">
      <c r="A30" s="25" t="s">
        <v>427</v>
      </c>
      <c r="B30" s="25" t="s">
        <v>125</v>
      </c>
      <c r="C30" s="25" t="s">
        <v>126</v>
      </c>
      <c r="D30" s="12" t="s">
        <v>37</v>
      </c>
      <c r="E30" s="12">
        <v>113346677.56</v>
      </c>
      <c r="F30" s="12">
        <v>0</v>
      </c>
      <c r="G30" s="25" t="s">
        <v>127</v>
      </c>
      <c r="H30" s="25" t="s">
        <v>128</v>
      </c>
      <c r="I30" s="13" t="s">
        <v>129</v>
      </c>
      <c r="J30" s="11">
        <v>44365</v>
      </c>
      <c r="K30" s="13">
        <v>790</v>
      </c>
      <c r="L30" s="12">
        <v>6226475.1799999997</v>
      </c>
      <c r="M30" s="11">
        <f t="shared" si="0"/>
        <v>45155</v>
      </c>
      <c r="N30" s="13">
        <v>0</v>
      </c>
      <c r="O30" s="12">
        <f>898362.57+658370.68</f>
        <v>1556733.25</v>
      </c>
      <c r="P30" s="12">
        <v>870330.65</v>
      </c>
      <c r="Q30" s="13" t="s">
        <v>47</v>
      </c>
      <c r="R30" s="12">
        <f>6097991.65+942560.39</f>
        <v>7040552.04</v>
      </c>
      <c r="S30" s="12">
        <v>1430571.74</v>
      </c>
      <c r="T30" s="12">
        <f t="shared" si="3"/>
        <v>1430571.74</v>
      </c>
      <c r="U30" s="12">
        <f>5105446.61+S30</f>
        <v>6536018.3500000006</v>
      </c>
      <c r="V30" s="26" t="s">
        <v>42</v>
      </c>
      <c r="W30" s="9">
        <f t="shared" si="4"/>
        <v>-504533.68999999948</v>
      </c>
      <c r="X30" s="9">
        <v>504533.69</v>
      </c>
      <c r="Y30" s="9">
        <f t="shared" si="5"/>
        <v>5.2386894822120667E-10</v>
      </c>
      <c r="Z30" s="8" t="str">
        <f t="shared" si="6"/>
        <v>and</v>
      </c>
    </row>
    <row r="31" spans="1:26" ht="42.9">
      <c r="A31" s="25" t="s">
        <v>427</v>
      </c>
      <c r="B31" s="25" t="s">
        <v>125</v>
      </c>
      <c r="C31" s="25" t="s">
        <v>126</v>
      </c>
      <c r="D31" s="12" t="s">
        <v>37</v>
      </c>
      <c r="E31" s="12">
        <v>113346677.56</v>
      </c>
      <c r="F31" s="12">
        <v>0</v>
      </c>
      <c r="G31" s="25" t="s">
        <v>44</v>
      </c>
      <c r="H31" s="25" t="s">
        <v>45</v>
      </c>
      <c r="I31" s="13" t="s">
        <v>130</v>
      </c>
      <c r="J31" s="11">
        <v>44365</v>
      </c>
      <c r="K31" s="13">
        <v>790</v>
      </c>
      <c r="L31" s="12">
        <v>9358982.3300000001</v>
      </c>
      <c r="M31" s="11">
        <f t="shared" si="0"/>
        <v>45155</v>
      </c>
      <c r="N31" s="13">
        <v>0</v>
      </c>
      <c r="O31" s="12">
        <f>2239670.95+131322</f>
        <v>2370992.9500000002</v>
      </c>
      <c r="P31" s="12">
        <v>1308009.78</v>
      </c>
      <c r="Q31" s="13" t="s">
        <v>47</v>
      </c>
      <c r="R31" s="12">
        <f>8889661.44+1160762.65</f>
        <v>10050424.09</v>
      </c>
      <c r="S31" s="12">
        <v>1983228.3</v>
      </c>
      <c r="T31" s="12">
        <f t="shared" si="3"/>
        <v>1983228.3</v>
      </c>
      <c r="U31" s="12">
        <f>7262189.64+S31</f>
        <v>9245417.9399999995</v>
      </c>
      <c r="V31" s="26" t="s">
        <v>42</v>
      </c>
      <c r="W31" s="9">
        <f t="shared" si="4"/>
        <v>-805006.15000000037</v>
      </c>
      <c r="X31" s="9"/>
      <c r="Y31" s="9">
        <f t="shared" si="5"/>
        <v>-805006.15000000037</v>
      </c>
      <c r="Z31" s="8" t="str">
        <f t="shared" si="6"/>
        <v>and</v>
      </c>
    </row>
    <row r="32" spans="1:26" ht="53.6">
      <c r="A32" s="25" t="s">
        <v>131</v>
      </c>
      <c r="B32" s="25" t="s">
        <v>132</v>
      </c>
      <c r="C32" s="25">
        <v>0</v>
      </c>
      <c r="D32" s="12">
        <v>0</v>
      </c>
      <c r="E32" s="12">
        <v>0</v>
      </c>
      <c r="F32" s="12">
        <v>0</v>
      </c>
      <c r="G32" s="25" t="s">
        <v>133</v>
      </c>
      <c r="H32" s="25" t="s">
        <v>134</v>
      </c>
      <c r="I32" s="13" t="s">
        <v>135</v>
      </c>
      <c r="J32" s="11">
        <v>44694</v>
      </c>
      <c r="K32" s="13">
        <v>240</v>
      </c>
      <c r="L32" s="12">
        <v>570270.67000000004</v>
      </c>
      <c r="M32" s="11">
        <f t="shared" si="0"/>
        <v>44934</v>
      </c>
      <c r="N32" s="13">
        <v>0</v>
      </c>
      <c r="O32" s="12">
        <v>0</v>
      </c>
      <c r="P32" s="12">
        <v>0</v>
      </c>
      <c r="Q32" s="13" t="s">
        <v>41</v>
      </c>
      <c r="R32" s="12">
        <v>0</v>
      </c>
      <c r="S32" s="12"/>
      <c r="T32" s="12">
        <f t="shared" si="3"/>
        <v>0</v>
      </c>
      <c r="U32" s="12">
        <v>0</v>
      </c>
      <c r="V32" s="26" t="s">
        <v>136</v>
      </c>
      <c r="W32" s="9">
        <f t="shared" si="4"/>
        <v>0</v>
      </c>
      <c r="X32" s="9"/>
      <c r="Y32" s="9">
        <f t="shared" si="5"/>
        <v>0</v>
      </c>
      <c r="Z32" s="8" t="str">
        <f t="shared" si="6"/>
        <v>enc</v>
      </c>
    </row>
    <row r="33" spans="1:26" ht="42.9">
      <c r="A33" s="25" t="s">
        <v>427</v>
      </c>
      <c r="B33" s="25" t="s">
        <v>125</v>
      </c>
      <c r="C33" s="25" t="s">
        <v>126</v>
      </c>
      <c r="D33" s="12" t="s">
        <v>37</v>
      </c>
      <c r="E33" s="12">
        <v>113346677.56</v>
      </c>
      <c r="F33" s="12">
        <v>0</v>
      </c>
      <c r="G33" s="25" t="s">
        <v>61</v>
      </c>
      <c r="H33" s="25" t="s">
        <v>62</v>
      </c>
      <c r="I33" s="13" t="s">
        <v>137</v>
      </c>
      <c r="J33" s="11">
        <v>44365</v>
      </c>
      <c r="K33" s="13">
        <v>790</v>
      </c>
      <c r="L33" s="12">
        <v>7403917.6600000001</v>
      </c>
      <c r="M33" s="11">
        <f t="shared" si="0"/>
        <v>45155</v>
      </c>
      <c r="N33" s="13">
        <v>0</v>
      </c>
      <c r="O33" s="12">
        <v>1928721.8399999999</v>
      </c>
      <c r="P33" s="12">
        <v>1034795.64</v>
      </c>
      <c r="Q33" s="13" t="s">
        <v>47</v>
      </c>
      <c r="R33" s="12">
        <f>8300345.44+1120267.3</f>
        <v>9420612.7400000002</v>
      </c>
      <c r="S33" s="12">
        <v>1369712.84</v>
      </c>
      <c r="T33" s="12">
        <f t="shared" si="3"/>
        <v>1369712.84</v>
      </c>
      <c r="U33" s="12">
        <f>7261353.73+S33</f>
        <v>8631066.5700000003</v>
      </c>
      <c r="V33" s="26" t="s">
        <v>42</v>
      </c>
      <c r="W33" s="9">
        <f t="shared" si="4"/>
        <v>-789546.16999999993</v>
      </c>
      <c r="X33" s="9"/>
      <c r="Y33" s="9">
        <f t="shared" si="5"/>
        <v>-789546.16999999993</v>
      </c>
      <c r="Z33" s="8" t="str">
        <f t="shared" si="6"/>
        <v>and</v>
      </c>
    </row>
    <row r="34" spans="1:26" ht="53.6">
      <c r="A34" s="25" t="s">
        <v>138</v>
      </c>
      <c r="B34" s="25" t="s">
        <v>139</v>
      </c>
      <c r="C34" s="25">
        <v>0</v>
      </c>
      <c r="D34" s="12">
        <v>0</v>
      </c>
      <c r="E34" s="12">
        <v>0</v>
      </c>
      <c r="F34" s="12">
        <v>0</v>
      </c>
      <c r="G34" s="25" t="s">
        <v>81</v>
      </c>
      <c r="H34" s="25" t="s">
        <v>82</v>
      </c>
      <c r="I34" s="13" t="s">
        <v>140</v>
      </c>
      <c r="J34" s="11">
        <v>44713</v>
      </c>
      <c r="K34" s="13">
        <v>180</v>
      </c>
      <c r="L34" s="12">
        <v>157510.07999999999</v>
      </c>
      <c r="M34" s="11">
        <f t="shared" ref="M34:M61" si="7">J34+K34+N34</f>
        <v>44893</v>
      </c>
      <c r="N34" s="13">
        <v>0</v>
      </c>
      <c r="O34" s="12">
        <v>0</v>
      </c>
      <c r="P34" s="12">
        <v>-510.9</v>
      </c>
      <c r="Q34" s="13" t="s">
        <v>41</v>
      </c>
      <c r="R34" s="12">
        <v>0</v>
      </c>
      <c r="S34" s="12"/>
      <c r="T34" s="12">
        <f t="shared" si="3"/>
        <v>0</v>
      </c>
      <c r="U34" s="12">
        <f>S34</f>
        <v>0</v>
      </c>
      <c r="V34" s="26" t="s">
        <v>42</v>
      </c>
      <c r="W34" s="9">
        <f t="shared" si="4"/>
        <v>0</v>
      </c>
      <c r="X34" s="9"/>
      <c r="Y34" s="9">
        <f t="shared" si="5"/>
        <v>0</v>
      </c>
      <c r="Z34" s="8" t="str">
        <f t="shared" si="6"/>
        <v>enc</v>
      </c>
    </row>
    <row r="35" spans="1:26" ht="42.9">
      <c r="A35" s="25" t="s">
        <v>141</v>
      </c>
      <c r="B35" s="25" t="s">
        <v>142</v>
      </c>
      <c r="C35" s="25">
        <v>0</v>
      </c>
      <c r="D35" s="12">
        <v>0</v>
      </c>
      <c r="E35" s="12">
        <v>0</v>
      </c>
      <c r="F35" s="12">
        <v>0</v>
      </c>
      <c r="G35" s="25" t="s">
        <v>143</v>
      </c>
      <c r="H35" s="25" t="s">
        <v>144</v>
      </c>
      <c r="I35" s="13" t="s">
        <v>145</v>
      </c>
      <c r="J35" s="11">
        <v>43633</v>
      </c>
      <c r="K35" s="13">
        <v>395</v>
      </c>
      <c r="L35" s="12">
        <v>12390281.279999999</v>
      </c>
      <c r="M35" s="11">
        <f t="shared" si="7"/>
        <v>45123</v>
      </c>
      <c r="N35" s="13">
        <v>1095</v>
      </c>
      <c r="O35" s="12">
        <v>42968949.840000004</v>
      </c>
      <c r="P35" s="12">
        <v>2473711.6800000002</v>
      </c>
      <c r="Q35" s="13" t="s">
        <v>47</v>
      </c>
      <c r="R35" s="12">
        <f>31674397.83+1823040.68</f>
        <v>33497438.509999998</v>
      </c>
      <c r="S35" s="12">
        <v>2743002.53</v>
      </c>
      <c r="T35" s="12">
        <f t="shared" si="3"/>
        <v>2743002.53</v>
      </c>
      <c r="U35" s="12">
        <f>30754435.98+S35</f>
        <v>33497438.510000002</v>
      </c>
      <c r="V35" s="26" t="s">
        <v>42</v>
      </c>
      <c r="W35" s="9">
        <f t="shared" si="4"/>
        <v>0</v>
      </c>
      <c r="X35" s="9"/>
      <c r="Y35" s="9">
        <f t="shared" si="5"/>
        <v>0</v>
      </c>
      <c r="Z35" s="8" t="str">
        <f t="shared" si="6"/>
        <v>and</v>
      </c>
    </row>
    <row r="36" spans="1:26" ht="21.45">
      <c r="A36" s="25" t="s">
        <v>146</v>
      </c>
      <c r="B36" s="25" t="s">
        <v>147</v>
      </c>
      <c r="C36" s="25" t="s">
        <v>438</v>
      </c>
      <c r="D36" s="12" t="s">
        <v>439</v>
      </c>
      <c r="E36" s="12">
        <v>0</v>
      </c>
      <c r="F36" s="12">
        <v>0</v>
      </c>
      <c r="G36" s="25" t="s">
        <v>99</v>
      </c>
      <c r="H36" s="25" t="s">
        <v>100</v>
      </c>
      <c r="I36" s="13" t="s">
        <v>148</v>
      </c>
      <c r="J36" s="11">
        <v>44697</v>
      </c>
      <c r="K36" s="13">
        <v>210</v>
      </c>
      <c r="L36" s="12">
        <v>1951428.17</v>
      </c>
      <c r="M36" s="11">
        <f t="shared" si="7"/>
        <v>44997</v>
      </c>
      <c r="N36" s="13">
        <v>90</v>
      </c>
      <c r="O36" s="12">
        <v>161502.12</v>
      </c>
      <c r="P36" s="12">
        <v>0</v>
      </c>
      <c r="Q36" s="13" t="s">
        <v>41</v>
      </c>
      <c r="R36" s="12">
        <f>332160.9+195704.12</f>
        <v>527865.02</v>
      </c>
      <c r="S36" s="12">
        <v>360327.3</v>
      </c>
      <c r="T36" s="12">
        <f t="shared" si="3"/>
        <v>360327.3</v>
      </c>
      <c r="U36" s="12">
        <f>167537.72+S36</f>
        <v>527865.02</v>
      </c>
      <c r="V36" s="26" t="s">
        <v>42</v>
      </c>
      <c r="W36" s="9">
        <f t="shared" si="4"/>
        <v>0</v>
      </c>
      <c r="X36" s="9"/>
      <c r="Y36" s="9">
        <f t="shared" si="5"/>
        <v>0</v>
      </c>
      <c r="Z36" s="8" t="str">
        <f t="shared" si="6"/>
        <v>enc</v>
      </c>
    </row>
    <row r="37" spans="1:26" ht="64.3">
      <c r="A37" s="25" t="s">
        <v>149</v>
      </c>
      <c r="B37" s="25" t="s">
        <v>150</v>
      </c>
      <c r="C37" s="25">
        <v>0</v>
      </c>
      <c r="D37" s="12">
        <v>0</v>
      </c>
      <c r="E37" s="12">
        <v>0</v>
      </c>
      <c r="F37" s="12">
        <v>0</v>
      </c>
      <c r="G37" s="25" t="s">
        <v>66</v>
      </c>
      <c r="H37" s="25" t="s">
        <v>67</v>
      </c>
      <c r="I37" s="13" t="s">
        <v>151</v>
      </c>
      <c r="J37" s="11">
        <v>44691</v>
      </c>
      <c r="K37" s="13">
        <v>395</v>
      </c>
      <c r="L37" s="12">
        <v>4795564.07</v>
      </c>
      <c r="M37" s="11">
        <f t="shared" si="7"/>
        <v>45086</v>
      </c>
      <c r="N37" s="13">
        <v>0</v>
      </c>
      <c r="O37" s="12">
        <v>0</v>
      </c>
      <c r="P37" s="12">
        <v>0</v>
      </c>
      <c r="Q37" s="13" t="s">
        <v>41</v>
      </c>
      <c r="R37" s="12">
        <f>54057.94+488533.83</f>
        <v>542591.77</v>
      </c>
      <c r="S37" s="12">
        <v>54057.94</v>
      </c>
      <c r="T37" s="12">
        <f t="shared" si="3"/>
        <v>54057.94</v>
      </c>
      <c r="U37" s="12">
        <f>S37</f>
        <v>54057.94</v>
      </c>
      <c r="V37" s="26" t="s">
        <v>42</v>
      </c>
      <c r="W37" s="9">
        <f t="shared" si="4"/>
        <v>-488533.83</v>
      </c>
      <c r="X37" s="9">
        <f>90112.75+398421.08</f>
        <v>488533.83</v>
      </c>
      <c r="Y37" s="9">
        <f t="shared" si="5"/>
        <v>0</v>
      </c>
      <c r="Z37" s="8" t="str">
        <f t="shared" si="6"/>
        <v>and</v>
      </c>
    </row>
    <row r="38" spans="1:26" ht="32.15">
      <c r="A38" s="25" t="s">
        <v>156</v>
      </c>
      <c r="B38" s="25" t="s">
        <v>157</v>
      </c>
      <c r="C38" s="25" t="s">
        <v>440</v>
      </c>
      <c r="D38" s="12" t="s">
        <v>441</v>
      </c>
      <c r="E38" s="12">
        <v>0</v>
      </c>
      <c r="F38" s="12">
        <v>0</v>
      </c>
      <c r="G38" s="25" t="s">
        <v>158</v>
      </c>
      <c r="H38" s="25" t="s">
        <v>159</v>
      </c>
      <c r="I38" s="13" t="s">
        <v>160</v>
      </c>
      <c r="J38" s="11">
        <v>44732</v>
      </c>
      <c r="K38" s="13">
        <v>210</v>
      </c>
      <c r="L38" s="12">
        <v>664493.28</v>
      </c>
      <c r="M38" s="11">
        <f t="shared" si="7"/>
        <v>45062</v>
      </c>
      <c r="N38" s="13">
        <v>120</v>
      </c>
      <c r="O38" s="12">
        <v>0</v>
      </c>
      <c r="P38" s="12">
        <v>0</v>
      </c>
      <c r="Q38" s="13" t="s">
        <v>41</v>
      </c>
      <c r="R38" s="12">
        <f>99520.08+37608.36</f>
        <v>137128.44</v>
      </c>
      <c r="S38" s="12">
        <v>37608.36</v>
      </c>
      <c r="T38" s="12">
        <f t="shared" si="3"/>
        <v>37608.36</v>
      </c>
      <c r="U38" s="12">
        <f>99520.08+S38</f>
        <v>137128.44</v>
      </c>
      <c r="V38" s="26" t="s">
        <v>42</v>
      </c>
      <c r="W38" s="9">
        <f t="shared" si="4"/>
        <v>0</v>
      </c>
      <c r="X38" s="9"/>
      <c r="Y38" s="9">
        <f t="shared" si="5"/>
        <v>0</v>
      </c>
      <c r="Z38" s="8" t="str">
        <f t="shared" si="6"/>
        <v>and</v>
      </c>
    </row>
    <row r="39" spans="1:26" ht="42.9">
      <c r="A39" s="25" t="s">
        <v>426</v>
      </c>
      <c r="B39" s="25" t="s">
        <v>161</v>
      </c>
      <c r="C39" s="25">
        <v>0</v>
      </c>
      <c r="D39" s="12">
        <v>0</v>
      </c>
      <c r="E39" s="12">
        <v>0</v>
      </c>
      <c r="F39" s="12">
        <v>0</v>
      </c>
      <c r="G39" s="25" t="s">
        <v>74</v>
      </c>
      <c r="H39" s="25" t="s">
        <v>75</v>
      </c>
      <c r="I39" s="13" t="s">
        <v>162</v>
      </c>
      <c r="J39" s="11">
        <v>44391</v>
      </c>
      <c r="K39" s="13">
        <v>790</v>
      </c>
      <c r="L39" s="12">
        <v>5538433.2699999996</v>
      </c>
      <c r="M39" s="11">
        <f t="shared" si="7"/>
        <v>45181</v>
      </c>
      <c r="N39" s="13">
        <v>0</v>
      </c>
      <c r="O39" s="12">
        <v>1123031.08</v>
      </c>
      <c r="P39" s="12">
        <v>969699.25</v>
      </c>
      <c r="Q39" s="13" t="s">
        <v>47</v>
      </c>
      <c r="R39" s="12">
        <f>3859436.76+799983.39</f>
        <v>4659420.1499999994</v>
      </c>
      <c r="S39" s="12">
        <v>1148436.3400000001</v>
      </c>
      <c r="T39" s="12">
        <f t="shared" si="3"/>
        <v>1148436.3400000001</v>
      </c>
      <c r="U39" s="12">
        <f>3510983.81+S39</f>
        <v>4659420.1500000004</v>
      </c>
      <c r="V39" s="26" t="s">
        <v>42</v>
      </c>
      <c r="W39" s="9">
        <f t="shared" si="4"/>
        <v>0</v>
      </c>
      <c r="X39" s="9"/>
      <c r="Y39" s="9">
        <f t="shared" si="5"/>
        <v>0</v>
      </c>
      <c r="Z39" s="8" t="str">
        <f t="shared" si="6"/>
        <v>and</v>
      </c>
    </row>
    <row r="40" spans="1:26" ht="32.15">
      <c r="A40" s="25" t="s">
        <v>156</v>
      </c>
      <c r="B40" s="25" t="s">
        <v>157</v>
      </c>
      <c r="C40" s="25" t="s">
        <v>440</v>
      </c>
      <c r="D40" s="12" t="s">
        <v>441</v>
      </c>
      <c r="E40" s="12">
        <v>0</v>
      </c>
      <c r="F40" s="12">
        <v>0</v>
      </c>
      <c r="G40" s="25" t="s">
        <v>163</v>
      </c>
      <c r="H40" s="25" t="s">
        <v>164</v>
      </c>
      <c r="I40" s="13" t="s">
        <v>165</v>
      </c>
      <c r="J40" s="11">
        <v>44714</v>
      </c>
      <c r="K40" s="13">
        <v>360</v>
      </c>
      <c r="L40" s="12">
        <v>1688150.08</v>
      </c>
      <c r="M40" s="11">
        <f t="shared" si="7"/>
        <v>45074</v>
      </c>
      <c r="N40" s="13">
        <v>0</v>
      </c>
      <c r="O40" s="12">
        <v>0</v>
      </c>
      <c r="P40" s="12">
        <v>0</v>
      </c>
      <c r="Q40" s="13" t="s">
        <v>41</v>
      </c>
      <c r="R40" s="12">
        <f>154408.82+117417.22</f>
        <v>271826.04000000004</v>
      </c>
      <c r="S40" s="12">
        <v>117417.22</v>
      </c>
      <c r="T40" s="12">
        <f t="shared" si="3"/>
        <v>117417.22</v>
      </c>
      <c r="U40" s="12">
        <f>154408.82+S40</f>
        <v>271826.04000000004</v>
      </c>
      <c r="V40" s="26" t="s">
        <v>42</v>
      </c>
      <c r="W40" s="9">
        <f t="shared" si="4"/>
        <v>0</v>
      </c>
      <c r="X40" s="9"/>
      <c r="Y40" s="9">
        <f t="shared" si="5"/>
        <v>0</v>
      </c>
      <c r="Z40" s="8" t="str">
        <f t="shared" si="6"/>
        <v>and</v>
      </c>
    </row>
    <row r="41" spans="1:26" ht="21.45">
      <c r="A41" s="25" t="s">
        <v>425</v>
      </c>
      <c r="B41" s="25" t="s">
        <v>166</v>
      </c>
      <c r="C41" s="25">
        <v>0</v>
      </c>
      <c r="D41" s="12">
        <v>0</v>
      </c>
      <c r="E41" s="12">
        <v>0</v>
      </c>
      <c r="F41" s="12">
        <v>0</v>
      </c>
      <c r="G41" s="25" t="s">
        <v>152</v>
      </c>
      <c r="H41" s="25" t="s">
        <v>153</v>
      </c>
      <c r="I41" s="13" t="s">
        <v>167</v>
      </c>
      <c r="J41" s="11">
        <v>44105</v>
      </c>
      <c r="K41" s="13">
        <v>760</v>
      </c>
      <c r="L41" s="12">
        <v>6329253.0300000003</v>
      </c>
      <c r="M41" s="11">
        <f t="shared" si="7"/>
        <v>44927</v>
      </c>
      <c r="N41" s="13">
        <v>62</v>
      </c>
      <c r="O41" s="12">
        <v>969313.04</v>
      </c>
      <c r="P41" s="12">
        <v>707143.97</v>
      </c>
      <c r="Q41" s="13" t="s">
        <v>47</v>
      </c>
      <c r="R41" s="12">
        <v>5329104.37</v>
      </c>
      <c r="S41" s="12">
        <v>158838.35</v>
      </c>
      <c r="T41" s="12">
        <f t="shared" si="3"/>
        <v>158838.35</v>
      </c>
      <c r="U41" s="12">
        <f>5170266.02+S41</f>
        <v>5329104.3699999992</v>
      </c>
      <c r="V41" s="26" t="s">
        <v>366</v>
      </c>
      <c r="W41" s="9">
        <f t="shared" si="4"/>
        <v>0</v>
      </c>
      <c r="X41" s="9"/>
      <c r="Y41" s="9">
        <f t="shared" si="5"/>
        <v>0</v>
      </c>
      <c r="Z41" s="8" t="str">
        <f t="shared" si="6"/>
        <v>enc</v>
      </c>
    </row>
    <row r="42" spans="1:26" ht="42.9">
      <c r="A42" s="25" t="s">
        <v>426</v>
      </c>
      <c r="B42" s="25" t="s">
        <v>168</v>
      </c>
      <c r="C42" s="25">
        <v>0</v>
      </c>
      <c r="D42" s="12">
        <v>0</v>
      </c>
      <c r="E42" s="12">
        <v>0</v>
      </c>
      <c r="F42" s="12">
        <v>0</v>
      </c>
      <c r="G42" s="25" t="s">
        <v>169</v>
      </c>
      <c r="H42" s="25" t="s">
        <v>170</v>
      </c>
      <c r="I42" s="13" t="s">
        <v>171</v>
      </c>
      <c r="J42" s="11">
        <v>44391</v>
      </c>
      <c r="K42" s="13">
        <v>790</v>
      </c>
      <c r="L42" s="12">
        <v>6400029.5199999996</v>
      </c>
      <c r="M42" s="11">
        <f t="shared" si="7"/>
        <v>45181</v>
      </c>
      <c r="N42" s="13">
        <v>0</v>
      </c>
      <c r="O42" s="12">
        <v>1599212.75</v>
      </c>
      <c r="P42" s="12">
        <v>1120494.03</v>
      </c>
      <c r="Q42" s="13" t="s">
        <v>47</v>
      </c>
      <c r="R42" s="12">
        <f>4590146.81+551928.46</f>
        <v>5142075.2699999996</v>
      </c>
      <c r="S42" s="12">
        <v>551928.46</v>
      </c>
      <c r="T42" s="12">
        <f t="shared" si="3"/>
        <v>551928.46</v>
      </c>
      <c r="U42" s="12">
        <f>4590146.81+S42</f>
        <v>5142075.2699999996</v>
      </c>
      <c r="V42" s="26" t="s">
        <v>42</v>
      </c>
      <c r="W42" s="9">
        <f t="shared" si="4"/>
        <v>0</v>
      </c>
      <c r="X42" s="9"/>
      <c r="Y42" s="9">
        <f t="shared" si="5"/>
        <v>0</v>
      </c>
      <c r="Z42" s="8" t="str">
        <f t="shared" si="6"/>
        <v>and</v>
      </c>
    </row>
    <row r="43" spans="1:26" ht="21.45">
      <c r="A43" s="25" t="s">
        <v>425</v>
      </c>
      <c r="B43" s="25" t="s">
        <v>172</v>
      </c>
      <c r="C43" s="25">
        <v>0</v>
      </c>
      <c r="D43" s="12">
        <v>0</v>
      </c>
      <c r="E43" s="12">
        <v>0</v>
      </c>
      <c r="F43" s="12">
        <v>0</v>
      </c>
      <c r="G43" s="25" t="s">
        <v>173</v>
      </c>
      <c r="H43" s="25" t="s">
        <v>174</v>
      </c>
      <c r="I43" s="13" t="s">
        <v>175</v>
      </c>
      <c r="J43" s="11">
        <v>44130</v>
      </c>
      <c r="K43" s="13">
        <v>760</v>
      </c>
      <c r="L43" s="12">
        <v>9905518.1799999997</v>
      </c>
      <c r="M43" s="11">
        <f t="shared" si="7"/>
        <v>45011</v>
      </c>
      <c r="N43" s="13">
        <v>121</v>
      </c>
      <c r="O43" s="12">
        <v>288906.17</v>
      </c>
      <c r="P43" s="12">
        <v>4628303.57</v>
      </c>
      <c r="Q43" s="13" t="s">
        <v>47</v>
      </c>
      <c r="R43" s="12">
        <v>9807579.25</v>
      </c>
      <c r="S43" s="12">
        <v>787666.71</v>
      </c>
      <c r="T43" s="12">
        <f t="shared" si="3"/>
        <v>787666.71</v>
      </c>
      <c r="U43" s="12">
        <f>9019912.54+S43</f>
        <v>9807579.25</v>
      </c>
      <c r="V43" s="26" t="s">
        <v>366</v>
      </c>
      <c r="W43" s="9">
        <f t="shared" si="4"/>
        <v>0</v>
      </c>
      <c r="X43" s="9"/>
      <c r="Y43" s="9">
        <f t="shared" si="5"/>
        <v>0</v>
      </c>
      <c r="Z43" s="8" t="str">
        <f t="shared" si="6"/>
        <v>enc</v>
      </c>
    </row>
    <row r="44" spans="1:26" ht="21.45">
      <c r="A44" s="25" t="s">
        <v>425</v>
      </c>
      <c r="B44" s="25" t="s">
        <v>176</v>
      </c>
      <c r="C44" s="25">
        <v>0</v>
      </c>
      <c r="D44" s="12">
        <v>0</v>
      </c>
      <c r="E44" s="12">
        <v>0</v>
      </c>
      <c r="F44" s="12">
        <v>0</v>
      </c>
      <c r="G44" s="25" t="s">
        <v>154</v>
      </c>
      <c r="H44" s="25" t="s">
        <v>155</v>
      </c>
      <c r="I44" s="13" t="s">
        <v>177</v>
      </c>
      <c r="J44" s="11">
        <v>44130</v>
      </c>
      <c r="K44" s="13">
        <v>760</v>
      </c>
      <c r="L44" s="12">
        <v>10773413.109999999</v>
      </c>
      <c r="M44" s="11">
        <f t="shared" si="7"/>
        <v>44952</v>
      </c>
      <c r="N44" s="13">
        <v>62</v>
      </c>
      <c r="O44" s="12">
        <v>0</v>
      </c>
      <c r="P44" s="12">
        <v>3401715.99</v>
      </c>
      <c r="Q44" s="13" t="s">
        <v>47</v>
      </c>
      <c r="R44" s="12">
        <v>8125546.7999999989</v>
      </c>
      <c r="S44" s="12">
        <v>406203.14</v>
      </c>
      <c r="T44" s="12">
        <f t="shared" si="3"/>
        <v>406203.14</v>
      </c>
      <c r="U44" s="12">
        <f>7719343.66+S44</f>
        <v>8125546.7999999998</v>
      </c>
      <c r="V44" s="26" t="s">
        <v>366</v>
      </c>
      <c r="W44" s="9">
        <f t="shared" si="4"/>
        <v>0</v>
      </c>
      <c r="X44" s="9"/>
      <c r="Y44" s="9">
        <f t="shared" si="5"/>
        <v>0</v>
      </c>
      <c r="Z44" s="8" t="str">
        <f t="shared" si="6"/>
        <v>enc</v>
      </c>
    </row>
    <row r="45" spans="1:26" ht="32.15">
      <c r="A45" s="25" t="s">
        <v>178</v>
      </c>
      <c r="B45" s="25" t="s">
        <v>179</v>
      </c>
      <c r="C45" s="25">
        <v>0</v>
      </c>
      <c r="D45" s="12">
        <v>0</v>
      </c>
      <c r="E45" s="12">
        <v>0</v>
      </c>
      <c r="F45" s="12">
        <v>0</v>
      </c>
      <c r="G45" s="25" t="s">
        <v>180</v>
      </c>
      <c r="H45" s="25" t="s">
        <v>181</v>
      </c>
      <c r="I45" s="13" t="s">
        <v>182</v>
      </c>
      <c r="J45" s="11">
        <v>44718</v>
      </c>
      <c r="K45" s="13">
        <v>790</v>
      </c>
      <c r="L45" s="12">
        <v>1278000</v>
      </c>
      <c r="M45" s="11">
        <f t="shared" si="7"/>
        <v>45508</v>
      </c>
      <c r="N45" s="13">
        <v>0</v>
      </c>
      <c r="O45" s="12">
        <v>0</v>
      </c>
      <c r="P45" s="12">
        <v>0</v>
      </c>
      <c r="Q45" s="13" t="s">
        <v>47</v>
      </c>
      <c r="R45" s="12">
        <f>499953.35+121414.82</f>
        <v>621368.16999999993</v>
      </c>
      <c r="S45" s="12">
        <v>121414.82</v>
      </c>
      <c r="T45" s="12">
        <f t="shared" si="3"/>
        <v>121414.82</v>
      </c>
      <c r="U45" s="12">
        <f>499953.35+S45</f>
        <v>621368.16999999993</v>
      </c>
      <c r="V45" s="26" t="s">
        <v>42</v>
      </c>
      <c r="W45" s="9">
        <f t="shared" si="4"/>
        <v>0</v>
      </c>
      <c r="X45" s="9"/>
      <c r="Y45" s="9">
        <f t="shared" si="5"/>
        <v>0</v>
      </c>
      <c r="Z45" s="8" t="str">
        <f t="shared" si="6"/>
        <v>and</v>
      </c>
    </row>
    <row r="46" spans="1:26" ht="64.3">
      <c r="A46" s="25" t="s">
        <v>156</v>
      </c>
      <c r="B46" s="25" t="s">
        <v>183</v>
      </c>
      <c r="C46" s="25" t="s">
        <v>440</v>
      </c>
      <c r="D46" s="12" t="s">
        <v>441</v>
      </c>
      <c r="E46" s="12">
        <v>0</v>
      </c>
      <c r="F46" s="12">
        <v>0</v>
      </c>
      <c r="G46" s="25" t="s">
        <v>158</v>
      </c>
      <c r="H46" s="25" t="s">
        <v>159</v>
      </c>
      <c r="I46" s="13" t="s">
        <v>184</v>
      </c>
      <c r="J46" s="11">
        <v>44732</v>
      </c>
      <c r="K46" s="13">
        <v>360</v>
      </c>
      <c r="L46" s="12">
        <v>1507466.22</v>
      </c>
      <c r="M46" s="11">
        <f t="shared" si="7"/>
        <v>45092</v>
      </c>
      <c r="N46" s="13">
        <v>0</v>
      </c>
      <c r="O46" s="12">
        <v>0</v>
      </c>
      <c r="P46" s="12">
        <v>0</v>
      </c>
      <c r="Q46" s="13" t="s">
        <v>41</v>
      </c>
      <c r="R46" s="12">
        <f>109117.17+145344.58</f>
        <v>254461.75</v>
      </c>
      <c r="S46" s="12">
        <v>145344.57999999999</v>
      </c>
      <c r="T46" s="12">
        <f t="shared" si="3"/>
        <v>145344.57999999999</v>
      </c>
      <c r="U46" s="12">
        <f>109117.17+S46</f>
        <v>254461.75</v>
      </c>
      <c r="V46" s="26" t="s">
        <v>42</v>
      </c>
      <c r="W46" s="9">
        <f t="shared" si="4"/>
        <v>0</v>
      </c>
      <c r="X46" s="9"/>
      <c r="Y46" s="9">
        <f t="shared" si="5"/>
        <v>0</v>
      </c>
      <c r="Z46" s="8" t="str">
        <f t="shared" si="6"/>
        <v>and</v>
      </c>
    </row>
    <row r="47" spans="1:26" ht="64.3">
      <c r="A47" s="25" t="s">
        <v>156</v>
      </c>
      <c r="B47" s="25" t="s">
        <v>183</v>
      </c>
      <c r="C47" s="25" t="s">
        <v>440</v>
      </c>
      <c r="D47" s="12" t="s">
        <v>441</v>
      </c>
      <c r="E47" s="12">
        <v>0</v>
      </c>
      <c r="F47" s="12">
        <v>0</v>
      </c>
      <c r="G47" s="25" t="s">
        <v>158</v>
      </c>
      <c r="H47" s="25" t="s">
        <v>159</v>
      </c>
      <c r="I47" s="13" t="s">
        <v>185</v>
      </c>
      <c r="J47" s="11">
        <v>44732</v>
      </c>
      <c r="K47" s="13">
        <v>425</v>
      </c>
      <c r="L47" s="12">
        <v>2244006.2200000002</v>
      </c>
      <c r="M47" s="11">
        <f t="shared" si="7"/>
        <v>45157</v>
      </c>
      <c r="N47" s="13">
        <v>0</v>
      </c>
      <c r="O47" s="12">
        <v>0</v>
      </c>
      <c r="P47" s="12">
        <v>0</v>
      </c>
      <c r="Q47" s="13" t="s">
        <v>41</v>
      </c>
      <c r="R47" s="12">
        <f>98314.94+217768.18</f>
        <v>316083.12</v>
      </c>
      <c r="S47" s="12">
        <v>217768.18</v>
      </c>
      <c r="T47" s="12">
        <f t="shared" si="3"/>
        <v>217768.18</v>
      </c>
      <c r="U47" s="12">
        <f>98314.94+S47</f>
        <v>316083.12</v>
      </c>
      <c r="V47" s="26" t="s">
        <v>42</v>
      </c>
      <c r="W47" s="9">
        <f t="shared" si="4"/>
        <v>0</v>
      </c>
      <c r="X47" s="9"/>
      <c r="Y47" s="9">
        <f t="shared" si="5"/>
        <v>0</v>
      </c>
      <c r="Z47" s="8" t="str">
        <f t="shared" si="6"/>
        <v>and</v>
      </c>
    </row>
    <row r="48" spans="1:26" ht="53.6">
      <c r="A48" s="25" t="s">
        <v>186</v>
      </c>
      <c r="B48" s="25" t="s">
        <v>187</v>
      </c>
      <c r="C48" s="25" t="s">
        <v>188</v>
      </c>
      <c r="D48" s="12" t="s">
        <v>80</v>
      </c>
      <c r="E48" s="12">
        <v>3820000</v>
      </c>
      <c r="F48" s="12">
        <v>8000</v>
      </c>
      <c r="G48" s="25" t="s">
        <v>189</v>
      </c>
      <c r="H48" s="25" t="s">
        <v>190</v>
      </c>
      <c r="I48" s="13" t="s">
        <v>191</v>
      </c>
      <c r="J48" s="11">
        <v>44456</v>
      </c>
      <c r="K48" s="13">
        <v>210</v>
      </c>
      <c r="L48" s="12">
        <v>2111167.85</v>
      </c>
      <c r="M48" s="11">
        <f t="shared" si="7"/>
        <v>45062</v>
      </c>
      <c r="N48" s="13">
        <f>306+90</f>
        <v>396</v>
      </c>
      <c r="O48" s="12">
        <v>0</v>
      </c>
      <c r="P48" s="12">
        <v>-1342.84</v>
      </c>
      <c r="Q48" s="13" t="s">
        <v>41</v>
      </c>
      <c r="R48" s="12">
        <f>1199276.75+167629.09</f>
        <v>1366905.84</v>
      </c>
      <c r="S48" s="12"/>
      <c r="T48" s="12">
        <f t="shared" si="3"/>
        <v>0</v>
      </c>
      <c r="U48" s="12">
        <f>1199276.75+S48</f>
        <v>1199276.75</v>
      </c>
      <c r="V48" s="26" t="s">
        <v>42</v>
      </c>
      <c r="W48" s="9">
        <f t="shared" si="4"/>
        <v>-167629.09000000008</v>
      </c>
      <c r="X48" s="9"/>
      <c r="Y48" s="9">
        <f t="shared" si="5"/>
        <v>-167629.09000000008</v>
      </c>
      <c r="Z48" s="8" t="str">
        <f t="shared" si="6"/>
        <v>and</v>
      </c>
    </row>
    <row r="49" spans="1:115" ht="21.45">
      <c r="A49" s="25" t="s">
        <v>192</v>
      </c>
      <c r="B49" s="25" t="s">
        <v>193</v>
      </c>
      <c r="C49" s="25">
        <v>0</v>
      </c>
      <c r="D49" s="12">
        <v>0</v>
      </c>
      <c r="E49" s="12">
        <v>0</v>
      </c>
      <c r="F49" s="12">
        <v>0</v>
      </c>
      <c r="G49" s="25" t="s">
        <v>194</v>
      </c>
      <c r="H49" s="25" t="s">
        <v>195</v>
      </c>
      <c r="I49" s="13" t="s">
        <v>196</v>
      </c>
      <c r="J49" s="11">
        <v>44719</v>
      </c>
      <c r="K49" s="13">
        <v>1155</v>
      </c>
      <c r="L49" s="12">
        <v>7836613.5899999999</v>
      </c>
      <c r="M49" s="11">
        <f t="shared" si="7"/>
        <v>45874</v>
      </c>
      <c r="N49" s="13">
        <v>0</v>
      </c>
      <c r="O49" s="12">
        <v>0</v>
      </c>
      <c r="P49" s="12">
        <v>0</v>
      </c>
      <c r="Q49" s="13" t="s">
        <v>47</v>
      </c>
      <c r="R49" s="12">
        <f>4100803.47+137343.21</f>
        <v>4238146.6800000006</v>
      </c>
      <c r="S49" s="12">
        <v>357994.51</v>
      </c>
      <c r="T49" s="12">
        <f t="shared" si="3"/>
        <v>357994.51</v>
      </c>
      <c r="U49" s="12">
        <f>3880152.17+S49</f>
        <v>4238146.68</v>
      </c>
      <c r="V49" s="26" t="s">
        <v>42</v>
      </c>
      <c r="W49" s="9">
        <f t="shared" si="4"/>
        <v>0</v>
      </c>
      <c r="X49" s="9"/>
      <c r="Y49" s="9">
        <f t="shared" si="5"/>
        <v>0</v>
      </c>
      <c r="Z49" s="8" t="str">
        <f t="shared" si="6"/>
        <v>and</v>
      </c>
    </row>
    <row r="50" spans="1:115" ht="21.45">
      <c r="A50" s="25" t="s">
        <v>192</v>
      </c>
      <c r="B50" s="25" t="s">
        <v>197</v>
      </c>
      <c r="C50" s="25">
        <v>0</v>
      </c>
      <c r="D50" s="12">
        <v>0</v>
      </c>
      <c r="E50" s="12">
        <v>0</v>
      </c>
      <c r="F50" s="12">
        <v>0</v>
      </c>
      <c r="G50" s="25" t="s">
        <v>194</v>
      </c>
      <c r="H50" s="25" t="s">
        <v>195</v>
      </c>
      <c r="I50" s="13" t="s">
        <v>198</v>
      </c>
      <c r="J50" s="11">
        <v>44719</v>
      </c>
      <c r="K50" s="13">
        <v>1155</v>
      </c>
      <c r="L50" s="12">
        <v>8921904</v>
      </c>
      <c r="M50" s="11">
        <f t="shared" si="7"/>
        <v>45874</v>
      </c>
      <c r="N50" s="13">
        <v>0</v>
      </c>
      <c r="O50" s="12">
        <v>0</v>
      </c>
      <c r="P50" s="12">
        <v>0</v>
      </c>
      <c r="Q50" s="13" t="s">
        <v>47</v>
      </c>
      <c r="R50" s="12">
        <f>3781673.96+204099.7</f>
        <v>3985773.66</v>
      </c>
      <c r="S50" s="12">
        <v>371515.6</v>
      </c>
      <c r="T50" s="12">
        <f t="shared" si="3"/>
        <v>371515.6</v>
      </c>
      <c r="U50" s="12">
        <f>3614258.06+S50</f>
        <v>3985773.66</v>
      </c>
      <c r="V50" s="26" t="s">
        <v>42</v>
      </c>
      <c r="W50" s="9">
        <f t="shared" si="4"/>
        <v>0</v>
      </c>
      <c r="X50" s="9"/>
      <c r="Y50" s="9">
        <f t="shared" si="5"/>
        <v>0</v>
      </c>
      <c r="Z50" s="8" t="str">
        <f t="shared" si="6"/>
        <v>and</v>
      </c>
    </row>
    <row r="51" spans="1:115" ht="21.45">
      <c r="A51" s="25" t="s">
        <v>192</v>
      </c>
      <c r="B51" s="25" t="s">
        <v>199</v>
      </c>
      <c r="C51" s="25">
        <v>0</v>
      </c>
      <c r="D51" s="12">
        <v>0</v>
      </c>
      <c r="E51" s="12">
        <v>0</v>
      </c>
      <c r="F51" s="12">
        <v>0</v>
      </c>
      <c r="G51" s="25" t="s">
        <v>200</v>
      </c>
      <c r="H51" s="25" t="s">
        <v>201</v>
      </c>
      <c r="I51" s="13" t="s">
        <v>202</v>
      </c>
      <c r="J51" s="11">
        <v>44719</v>
      </c>
      <c r="K51" s="13">
        <v>1155</v>
      </c>
      <c r="L51" s="12">
        <v>11636266.130000001</v>
      </c>
      <c r="M51" s="11">
        <f t="shared" si="7"/>
        <v>45874</v>
      </c>
      <c r="N51" s="13">
        <v>0</v>
      </c>
      <c r="O51" s="12">
        <v>0</v>
      </c>
      <c r="P51" s="12">
        <v>0</v>
      </c>
      <c r="Q51" s="13" t="s">
        <v>47</v>
      </c>
      <c r="R51" s="12">
        <v>3533030.92</v>
      </c>
      <c r="S51" s="12">
        <v>0</v>
      </c>
      <c r="T51" s="12">
        <f t="shared" si="3"/>
        <v>0</v>
      </c>
      <c r="U51" s="12">
        <f>3533030.92+S51</f>
        <v>3533030.92</v>
      </c>
      <c r="V51" s="26" t="s">
        <v>42</v>
      </c>
      <c r="W51" s="9">
        <f t="shared" si="4"/>
        <v>0</v>
      </c>
      <c r="X51" s="9"/>
      <c r="Y51" s="9">
        <f t="shared" si="5"/>
        <v>0</v>
      </c>
      <c r="Z51" s="8" t="str">
        <f t="shared" si="6"/>
        <v>and</v>
      </c>
    </row>
    <row r="52" spans="1:115" ht="42.9">
      <c r="A52" s="25" t="s">
        <v>203</v>
      </c>
      <c r="B52" s="25" t="s">
        <v>204</v>
      </c>
      <c r="C52" s="25" t="s">
        <v>438</v>
      </c>
      <c r="D52" s="12" t="s">
        <v>439</v>
      </c>
      <c r="E52" s="12">
        <v>0</v>
      </c>
      <c r="F52" s="12">
        <v>0</v>
      </c>
      <c r="G52" s="25" t="s">
        <v>205</v>
      </c>
      <c r="H52" s="25" t="s">
        <v>206</v>
      </c>
      <c r="I52" s="13" t="s">
        <v>207</v>
      </c>
      <c r="J52" s="11">
        <v>44726</v>
      </c>
      <c r="K52" s="13">
        <v>337</v>
      </c>
      <c r="L52" s="12">
        <v>5966954.5499999998</v>
      </c>
      <c r="M52" s="11">
        <f t="shared" si="7"/>
        <v>45153</v>
      </c>
      <c r="N52" s="13">
        <f>0+90</f>
        <v>90</v>
      </c>
      <c r="O52" s="12">
        <v>0</v>
      </c>
      <c r="P52" s="12">
        <v>0</v>
      </c>
      <c r="Q52" s="13" t="s">
        <v>41</v>
      </c>
      <c r="R52" s="12">
        <f>503150.78+853635.15</f>
        <v>1356785.9300000002</v>
      </c>
      <c r="S52" s="12">
        <v>1356785.93</v>
      </c>
      <c r="T52" s="12">
        <f t="shared" si="3"/>
        <v>1356785.93</v>
      </c>
      <c r="U52" s="12">
        <f>S52</f>
        <v>1356785.93</v>
      </c>
      <c r="V52" s="26" t="s">
        <v>42</v>
      </c>
      <c r="W52" s="9">
        <f t="shared" si="4"/>
        <v>0</v>
      </c>
      <c r="X52" s="9"/>
      <c r="Y52" s="9">
        <f t="shared" si="5"/>
        <v>0</v>
      </c>
      <c r="Z52" s="8" t="str">
        <f t="shared" si="6"/>
        <v>and</v>
      </c>
    </row>
    <row r="53" spans="1:115" ht="42.9">
      <c r="A53" s="25" t="s">
        <v>208</v>
      </c>
      <c r="B53" s="25" t="s">
        <v>209</v>
      </c>
      <c r="C53" s="25">
        <v>0</v>
      </c>
      <c r="D53" s="12">
        <v>0</v>
      </c>
      <c r="E53" s="12">
        <v>0</v>
      </c>
      <c r="F53" s="12">
        <v>0</v>
      </c>
      <c r="G53" s="25" t="s">
        <v>99</v>
      </c>
      <c r="H53" s="25" t="s">
        <v>100</v>
      </c>
      <c r="I53" s="13" t="s">
        <v>210</v>
      </c>
      <c r="J53" s="11">
        <v>44469</v>
      </c>
      <c r="K53" s="13">
        <v>920</v>
      </c>
      <c r="L53" s="12">
        <v>1730333.68</v>
      </c>
      <c r="M53" s="11">
        <f t="shared" si="7"/>
        <v>45389</v>
      </c>
      <c r="N53" s="13">
        <v>0</v>
      </c>
      <c r="O53" s="12">
        <v>0</v>
      </c>
      <c r="P53" s="12">
        <v>0</v>
      </c>
      <c r="Q53" s="13" t="s">
        <v>47</v>
      </c>
      <c r="R53" s="12">
        <f>752162.81+145216.98</f>
        <v>897379.79</v>
      </c>
      <c r="S53" s="12">
        <v>145216.98000000001</v>
      </c>
      <c r="T53" s="12">
        <f t="shared" si="3"/>
        <v>145216.98000000001</v>
      </c>
      <c r="U53" s="12">
        <f>752162.81+S53</f>
        <v>897379.79</v>
      </c>
      <c r="V53" s="26" t="s">
        <v>42</v>
      </c>
      <c r="W53" s="9">
        <f t="shared" si="4"/>
        <v>0</v>
      </c>
      <c r="X53" s="9"/>
      <c r="Y53" s="9">
        <f t="shared" si="5"/>
        <v>0</v>
      </c>
      <c r="Z53" s="8" t="str">
        <f t="shared" si="6"/>
        <v>and</v>
      </c>
    </row>
    <row r="54" spans="1:115" ht="53.6">
      <c r="A54" s="25" t="s">
        <v>186</v>
      </c>
      <c r="B54" s="25" t="s">
        <v>211</v>
      </c>
      <c r="C54" s="25" t="s">
        <v>188</v>
      </c>
      <c r="D54" s="12" t="s">
        <v>80</v>
      </c>
      <c r="E54" s="12">
        <v>3820000</v>
      </c>
      <c r="F54" s="12">
        <v>8000</v>
      </c>
      <c r="G54" s="25" t="s">
        <v>189</v>
      </c>
      <c r="H54" s="25" t="s">
        <v>190</v>
      </c>
      <c r="I54" s="13" t="s">
        <v>212</v>
      </c>
      <c r="J54" s="11">
        <v>44456</v>
      </c>
      <c r="K54" s="13">
        <v>180</v>
      </c>
      <c r="L54" s="12">
        <v>1022476.9</v>
      </c>
      <c r="M54" s="11">
        <f t="shared" si="7"/>
        <v>45086</v>
      </c>
      <c r="N54" s="13">
        <f>360+90</f>
        <v>450</v>
      </c>
      <c r="O54" s="12">
        <v>0</v>
      </c>
      <c r="P54" s="12">
        <v>-817.52</v>
      </c>
      <c r="Q54" s="13" t="s">
        <v>41</v>
      </c>
      <c r="R54" s="12">
        <v>383346.66000000003</v>
      </c>
      <c r="S54" s="12">
        <v>27885.22</v>
      </c>
      <c r="T54" s="12">
        <f t="shared" si="3"/>
        <v>27885.22</v>
      </c>
      <c r="U54" s="12">
        <f>239345.09+S54</f>
        <v>267230.31</v>
      </c>
      <c r="V54" s="26" t="s">
        <v>42</v>
      </c>
      <c r="W54" s="9">
        <f t="shared" si="4"/>
        <v>-116116.35000000003</v>
      </c>
      <c r="X54" s="9"/>
      <c r="Y54" s="9">
        <f t="shared" si="5"/>
        <v>-116116.35000000003</v>
      </c>
      <c r="Z54" s="8" t="str">
        <f t="shared" si="6"/>
        <v>and</v>
      </c>
    </row>
    <row r="55" spans="1:115" ht="32.15">
      <c r="A55" s="25" t="s">
        <v>213</v>
      </c>
      <c r="B55" s="25" t="s">
        <v>214</v>
      </c>
      <c r="C55" s="25">
        <v>0</v>
      </c>
      <c r="D55" s="12">
        <v>0</v>
      </c>
      <c r="E55" s="12">
        <v>0</v>
      </c>
      <c r="F55" s="12">
        <v>0</v>
      </c>
      <c r="G55" s="25" t="s">
        <v>61</v>
      </c>
      <c r="H55" s="25" t="s">
        <v>62</v>
      </c>
      <c r="I55" s="13" t="s">
        <v>215</v>
      </c>
      <c r="J55" s="11">
        <v>44516</v>
      </c>
      <c r="K55" s="13">
        <v>790</v>
      </c>
      <c r="L55" s="12">
        <v>4874717.78</v>
      </c>
      <c r="M55" s="11">
        <f t="shared" si="7"/>
        <v>45306</v>
      </c>
      <c r="N55" s="13">
        <v>0</v>
      </c>
      <c r="O55" s="12">
        <v>1218573.5900000001</v>
      </c>
      <c r="P55" s="12">
        <v>0</v>
      </c>
      <c r="Q55" s="13" t="s">
        <v>47</v>
      </c>
      <c r="R55" s="12">
        <v>5386719.5499999998</v>
      </c>
      <c r="S55" s="12">
        <v>301882.77</v>
      </c>
      <c r="T55" s="12">
        <f t="shared" si="3"/>
        <v>301882.77</v>
      </c>
      <c r="U55" s="12">
        <f>5084836.78+S55</f>
        <v>5386719.5500000007</v>
      </c>
      <c r="V55" s="26" t="s">
        <v>42</v>
      </c>
      <c r="W55" s="9">
        <f t="shared" si="4"/>
        <v>0</v>
      </c>
      <c r="X55" s="9"/>
      <c r="Y55" s="9">
        <f t="shared" si="5"/>
        <v>0</v>
      </c>
      <c r="Z55" s="8" t="str">
        <f t="shared" si="6"/>
        <v>and</v>
      </c>
    </row>
    <row r="56" spans="1:115" ht="32.15">
      <c r="A56" s="25" t="s">
        <v>216</v>
      </c>
      <c r="B56" s="25" t="s">
        <v>217</v>
      </c>
      <c r="C56" s="25">
        <v>0</v>
      </c>
      <c r="D56" s="12">
        <v>0</v>
      </c>
      <c r="E56" s="12">
        <v>0</v>
      </c>
      <c r="F56" s="12">
        <v>0</v>
      </c>
      <c r="G56" s="25" t="s">
        <v>81</v>
      </c>
      <c r="H56" s="25" t="s">
        <v>82</v>
      </c>
      <c r="I56" s="13" t="s">
        <v>218</v>
      </c>
      <c r="J56" s="11">
        <v>44763</v>
      </c>
      <c r="K56" s="13">
        <v>90</v>
      </c>
      <c r="L56" s="12">
        <v>350959.89</v>
      </c>
      <c r="M56" s="11">
        <f t="shared" si="7"/>
        <v>45033</v>
      </c>
      <c r="N56" s="13">
        <f>120+60</f>
        <v>180</v>
      </c>
      <c r="O56" s="12">
        <v>0</v>
      </c>
      <c r="P56" s="12">
        <v>0</v>
      </c>
      <c r="Q56" s="13" t="s">
        <v>41</v>
      </c>
      <c r="R56" s="12">
        <f>185939.97+42557.79</f>
        <v>228497.76</v>
      </c>
      <c r="S56" s="12"/>
      <c r="T56" s="12">
        <f t="shared" si="3"/>
        <v>0</v>
      </c>
      <c r="U56" s="12">
        <f>185939.97+S56</f>
        <v>185939.97</v>
      </c>
      <c r="V56" s="26" t="s">
        <v>42</v>
      </c>
      <c r="W56" s="9">
        <f t="shared" si="4"/>
        <v>-42557.790000000008</v>
      </c>
      <c r="X56" s="9">
        <v>42557.79</v>
      </c>
      <c r="Y56" s="9">
        <f t="shared" si="5"/>
        <v>0</v>
      </c>
      <c r="Z56" s="8" t="str">
        <f t="shared" si="6"/>
        <v>and</v>
      </c>
    </row>
    <row r="57" spans="1:115" ht="53.6">
      <c r="A57" s="25" t="s">
        <v>219</v>
      </c>
      <c r="B57" s="25" t="s">
        <v>220</v>
      </c>
      <c r="C57" s="25">
        <v>0</v>
      </c>
      <c r="D57" s="12">
        <v>0</v>
      </c>
      <c r="E57" s="12">
        <v>0</v>
      </c>
      <c r="F57" s="12">
        <v>0</v>
      </c>
      <c r="G57" s="25" t="s">
        <v>66</v>
      </c>
      <c r="H57" s="25" t="s">
        <v>67</v>
      </c>
      <c r="I57" s="13" t="s">
        <v>221</v>
      </c>
      <c r="J57" s="11">
        <v>44162</v>
      </c>
      <c r="K57" s="13">
        <v>790</v>
      </c>
      <c r="L57" s="12">
        <v>1704583.5</v>
      </c>
      <c r="M57" s="11">
        <f t="shared" si="7"/>
        <v>44952</v>
      </c>
      <c r="N57" s="13">
        <v>0</v>
      </c>
      <c r="O57" s="12">
        <v>302588</v>
      </c>
      <c r="P57" s="12">
        <v>0</v>
      </c>
      <c r="Q57" s="13" t="s">
        <v>47</v>
      </c>
      <c r="R57" s="12">
        <v>1499919.8599999999</v>
      </c>
      <c r="S57" s="12"/>
      <c r="T57" s="12">
        <f t="shared" si="3"/>
        <v>0</v>
      </c>
      <c r="U57" s="12">
        <v>1499919.8599999999</v>
      </c>
      <c r="V57" s="26" t="s">
        <v>366</v>
      </c>
      <c r="W57" s="9">
        <f t="shared" si="4"/>
        <v>0</v>
      </c>
      <c r="X57" s="9"/>
      <c r="Y57" s="9">
        <f t="shared" si="5"/>
        <v>0</v>
      </c>
      <c r="Z57" s="8" t="str">
        <f t="shared" si="6"/>
        <v>enc</v>
      </c>
    </row>
    <row r="58" spans="1:115" ht="21.45">
      <c r="A58" s="25" t="s">
        <v>222</v>
      </c>
      <c r="B58" s="25" t="s">
        <v>223</v>
      </c>
      <c r="C58" s="25" t="s">
        <v>440</v>
      </c>
      <c r="D58" s="12" t="s">
        <v>441</v>
      </c>
      <c r="E58" s="12">
        <v>0</v>
      </c>
      <c r="F58" s="12">
        <v>0</v>
      </c>
      <c r="G58" s="25" t="s">
        <v>61</v>
      </c>
      <c r="H58" s="25" t="s">
        <v>62</v>
      </c>
      <c r="I58" s="13" t="s">
        <v>224</v>
      </c>
      <c r="J58" s="11">
        <v>44776</v>
      </c>
      <c r="K58" s="13">
        <v>600</v>
      </c>
      <c r="L58" s="12">
        <v>6573647.8899999997</v>
      </c>
      <c r="M58" s="11">
        <f t="shared" si="7"/>
        <v>45376</v>
      </c>
      <c r="N58" s="13">
        <v>0</v>
      </c>
      <c r="O58" s="12">
        <v>806620.6</v>
      </c>
      <c r="P58" s="12">
        <v>0</v>
      </c>
      <c r="Q58" s="13" t="s">
        <v>41</v>
      </c>
      <c r="R58" s="12">
        <f>2086345.87+681418.52</f>
        <v>2767764.39</v>
      </c>
      <c r="S58" s="12"/>
      <c r="T58" s="12">
        <f t="shared" si="3"/>
        <v>0</v>
      </c>
      <c r="U58" s="12">
        <f>2086345.87+S58</f>
        <v>2086345.87</v>
      </c>
      <c r="V58" s="26" t="s">
        <v>42</v>
      </c>
      <c r="W58" s="9">
        <f t="shared" si="4"/>
        <v>-681418.52</v>
      </c>
      <c r="X58" s="9">
        <v>681418.52</v>
      </c>
      <c r="Y58" s="9">
        <f t="shared" si="5"/>
        <v>0</v>
      </c>
      <c r="Z58" s="8" t="str">
        <f t="shared" si="6"/>
        <v>and</v>
      </c>
      <c r="AA58" s="21"/>
      <c r="AB58" s="21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1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42.9">
      <c r="A59" s="25" t="s">
        <v>225</v>
      </c>
      <c r="B59" s="25" t="s">
        <v>226</v>
      </c>
      <c r="C59" s="25">
        <v>0</v>
      </c>
      <c r="D59" s="12">
        <v>0</v>
      </c>
      <c r="E59" s="12">
        <v>0</v>
      </c>
      <c r="F59" s="12">
        <v>0</v>
      </c>
      <c r="G59" s="25" t="s">
        <v>99</v>
      </c>
      <c r="H59" s="25" t="s">
        <v>100</v>
      </c>
      <c r="I59" s="13" t="s">
        <v>227</v>
      </c>
      <c r="J59" s="11">
        <v>44774</v>
      </c>
      <c r="K59" s="13">
        <v>760</v>
      </c>
      <c r="L59" s="12">
        <v>3890767.22</v>
      </c>
      <c r="M59" s="11">
        <f t="shared" si="7"/>
        <v>45534</v>
      </c>
      <c r="N59" s="13">
        <v>0</v>
      </c>
      <c r="O59" s="12">
        <v>0</v>
      </c>
      <c r="P59" s="12">
        <v>0</v>
      </c>
      <c r="Q59" s="13" t="s">
        <v>47</v>
      </c>
      <c r="R59" s="12">
        <f>174810.14+395988.67</f>
        <v>570798.81000000006</v>
      </c>
      <c r="S59" s="12">
        <v>395988.67</v>
      </c>
      <c r="T59" s="12">
        <f t="shared" si="3"/>
        <v>395988.67</v>
      </c>
      <c r="U59" s="12">
        <f>174810.14+S59</f>
        <v>570798.81000000006</v>
      </c>
      <c r="V59" s="26" t="s">
        <v>42</v>
      </c>
      <c r="W59" s="9">
        <f t="shared" si="4"/>
        <v>0</v>
      </c>
      <c r="X59" s="9"/>
      <c r="Y59" s="9">
        <f t="shared" si="5"/>
        <v>0</v>
      </c>
      <c r="Z59" s="8" t="str">
        <f t="shared" si="6"/>
        <v>and</v>
      </c>
    </row>
    <row r="60" spans="1:115" ht="21.45">
      <c r="A60" s="25" t="s">
        <v>424</v>
      </c>
      <c r="B60" s="25" t="s">
        <v>228</v>
      </c>
      <c r="C60" s="25">
        <v>0</v>
      </c>
      <c r="D60" s="12">
        <v>0</v>
      </c>
      <c r="E60" s="12">
        <v>0</v>
      </c>
      <c r="F60" s="12">
        <v>0</v>
      </c>
      <c r="G60" s="25" t="s">
        <v>70</v>
      </c>
      <c r="H60" s="25" t="s">
        <v>71</v>
      </c>
      <c r="I60" s="13" t="s">
        <v>229</v>
      </c>
      <c r="J60" s="11">
        <v>44168</v>
      </c>
      <c r="K60" s="13">
        <v>1125</v>
      </c>
      <c r="L60" s="12">
        <v>16571981.609999999</v>
      </c>
      <c r="M60" s="11">
        <f t="shared" si="7"/>
        <v>45293</v>
      </c>
      <c r="N60" s="13">
        <v>0</v>
      </c>
      <c r="O60" s="12">
        <v>4067901.64</v>
      </c>
      <c r="P60" s="12">
        <v>3759599.49</v>
      </c>
      <c r="Q60" s="13" t="s">
        <v>47</v>
      </c>
      <c r="R60" s="12">
        <f>12660605.1+2479647.75</f>
        <v>15140252.85</v>
      </c>
      <c r="S60" s="12">
        <v>1021152.43</v>
      </c>
      <c r="T60" s="12">
        <f t="shared" si="3"/>
        <v>1021152.43</v>
      </c>
      <c r="U60" s="12">
        <f>12002367.91+S60</f>
        <v>13023520.34</v>
      </c>
      <c r="V60" s="26" t="s">
        <v>42</v>
      </c>
      <c r="W60" s="9">
        <f t="shared" si="4"/>
        <v>-2116732.5099999998</v>
      </c>
      <c r="X60" s="9">
        <f>717420.71+135131.67</f>
        <v>852552.38</v>
      </c>
      <c r="Y60" s="9">
        <f t="shared" si="5"/>
        <v>-1264180.1299999999</v>
      </c>
      <c r="Z60" s="8" t="str">
        <f t="shared" si="6"/>
        <v>and</v>
      </c>
    </row>
    <row r="61" spans="1:115" ht="53.6">
      <c r="A61" s="25" t="s">
        <v>230</v>
      </c>
      <c r="B61" s="25" t="s">
        <v>220</v>
      </c>
      <c r="C61" s="25">
        <v>0</v>
      </c>
      <c r="D61" s="12">
        <v>0</v>
      </c>
      <c r="E61" s="12">
        <v>0</v>
      </c>
      <c r="F61" s="12">
        <v>0</v>
      </c>
      <c r="G61" s="25" t="s">
        <v>231</v>
      </c>
      <c r="H61" s="25" t="s">
        <v>232</v>
      </c>
      <c r="I61" s="13" t="s">
        <v>233</v>
      </c>
      <c r="J61" s="11">
        <v>44776</v>
      </c>
      <c r="K61" s="13">
        <v>907</v>
      </c>
      <c r="L61" s="12">
        <v>2538999.92</v>
      </c>
      <c r="M61" s="11">
        <f t="shared" si="7"/>
        <v>45683</v>
      </c>
      <c r="N61" s="13">
        <v>0</v>
      </c>
      <c r="O61" s="12">
        <v>0</v>
      </c>
      <c r="P61" s="12">
        <v>0</v>
      </c>
      <c r="Q61" s="13" t="s">
        <v>47</v>
      </c>
      <c r="R61" s="12">
        <f>70192.35+176952.44</f>
        <v>247144.79</v>
      </c>
      <c r="S61" s="12">
        <v>80761.710000000006</v>
      </c>
      <c r="T61" s="12">
        <f t="shared" si="3"/>
        <v>80761.710000000006</v>
      </c>
      <c r="U61" s="12">
        <f>70192.35+S61</f>
        <v>150954.06</v>
      </c>
      <c r="V61" s="26" t="s">
        <v>42</v>
      </c>
      <c r="W61" s="9">
        <f t="shared" si="4"/>
        <v>-96190.73000000001</v>
      </c>
      <c r="X61" s="9">
        <v>96190.73</v>
      </c>
      <c r="Y61" s="9">
        <f t="shared" si="5"/>
        <v>0</v>
      </c>
      <c r="Z61" s="8" t="str">
        <f t="shared" si="6"/>
        <v>and</v>
      </c>
    </row>
    <row r="62" spans="1:115" ht="53.6">
      <c r="A62" s="25" t="s">
        <v>234</v>
      </c>
      <c r="B62" s="25" t="s">
        <v>235</v>
      </c>
      <c r="C62" s="25">
        <v>0</v>
      </c>
      <c r="D62" s="12">
        <v>0</v>
      </c>
      <c r="E62" s="12">
        <v>0</v>
      </c>
      <c r="F62" s="12">
        <v>0</v>
      </c>
      <c r="G62" s="25" t="s">
        <v>236</v>
      </c>
      <c r="H62" s="25" t="s">
        <v>237</v>
      </c>
      <c r="I62" s="13" t="s">
        <v>238</v>
      </c>
      <c r="J62" s="11">
        <v>44775</v>
      </c>
      <c r="K62" s="13">
        <v>425</v>
      </c>
      <c r="L62" s="12">
        <v>50446292</v>
      </c>
      <c r="M62" s="11">
        <f t="shared" ref="M62:M92" si="8">J62+K62+N62</f>
        <v>45200</v>
      </c>
      <c r="N62" s="13">
        <v>0</v>
      </c>
      <c r="O62" s="12">
        <v>0</v>
      </c>
      <c r="P62" s="12">
        <v>0</v>
      </c>
      <c r="Q62" s="13" t="s">
        <v>47</v>
      </c>
      <c r="R62" s="12">
        <f>19721407.17+6834152.36</f>
        <v>26555559.530000001</v>
      </c>
      <c r="S62" s="12">
        <v>10211927.76</v>
      </c>
      <c r="T62" s="12">
        <f t="shared" si="3"/>
        <v>10211927.76</v>
      </c>
      <c r="U62" s="12">
        <f>16343631.77+S62</f>
        <v>26555559.530000001</v>
      </c>
      <c r="V62" s="26" t="s">
        <v>42</v>
      </c>
      <c r="W62" s="9">
        <f t="shared" si="4"/>
        <v>0</v>
      </c>
      <c r="X62" s="9"/>
      <c r="Y62" s="9">
        <f t="shared" si="5"/>
        <v>0</v>
      </c>
      <c r="Z62" s="8" t="str">
        <f t="shared" si="6"/>
        <v>and</v>
      </c>
    </row>
    <row r="63" spans="1:115" ht="53.6">
      <c r="A63" s="25" t="s">
        <v>234</v>
      </c>
      <c r="B63" s="25" t="s">
        <v>239</v>
      </c>
      <c r="C63" s="25">
        <v>0</v>
      </c>
      <c r="D63" s="12">
        <v>0</v>
      </c>
      <c r="E63" s="12">
        <v>0</v>
      </c>
      <c r="F63" s="12">
        <v>0</v>
      </c>
      <c r="G63" s="25" t="s">
        <v>236</v>
      </c>
      <c r="H63" s="25" t="s">
        <v>237</v>
      </c>
      <c r="I63" s="13" t="s">
        <v>240</v>
      </c>
      <c r="J63" s="11">
        <v>44775</v>
      </c>
      <c r="K63" s="13">
        <v>425</v>
      </c>
      <c r="L63" s="12">
        <v>12552600</v>
      </c>
      <c r="M63" s="11">
        <f t="shared" si="8"/>
        <v>45200</v>
      </c>
      <c r="N63" s="13">
        <v>0</v>
      </c>
      <c r="O63" s="12">
        <v>0</v>
      </c>
      <c r="P63" s="12">
        <v>0</v>
      </c>
      <c r="Q63" s="13" t="s">
        <v>47</v>
      </c>
      <c r="R63" s="12">
        <f>5004714.74+1574917.77</f>
        <v>6579632.5099999998</v>
      </c>
      <c r="S63" s="12">
        <v>2224140.41</v>
      </c>
      <c r="T63" s="12">
        <f t="shared" ref="T63:T118" si="9">S63</f>
        <v>2224140.41</v>
      </c>
      <c r="U63" s="12">
        <f>4355492.1+S63</f>
        <v>6579632.5099999998</v>
      </c>
      <c r="V63" s="26" t="s">
        <v>42</v>
      </c>
      <c r="W63" s="9">
        <f t="shared" ref="W63:W118" si="10">U63-R63</f>
        <v>0</v>
      </c>
      <c r="X63" s="9"/>
      <c r="Y63" s="9">
        <f t="shared" ref="Y63:Y118" si="11">X63+W63</f>
        <v>0</v>
      </c>
      <c r="Z63" s="8" t="str">
        <f t="shared" ref="Z63:Z118" si="12">IF(M63&gt;$Z$5,"and","enc")</f>
        <v>and</v>
      </c>
    </row>
    <row r="64" spans="1:115" ht="53.6">
      <c r="A64" s="25" t="s">
        <v>241</v>
      </c>
      <c r="B64" s="25" t="s">
        <v>242</v>
      </c>
      <c r="C64" s="25" t="s">
        <v>438</v>
      </c>
      <c r="D64" s="12" t="s">
        <v>439</v>
      </c>
      <c r="E64" s="12">
        <v>0</v>
      </c>
      <c r="F64" s="12">
        <v>0</v>
      </c>
      <c r="G64" s="25" t="s">
        <v>189</v>
      </c>
      <c r="H64" s="25" t="s">
        <v>190</v>
      </c>
      <c r="I64" s="13" t="s">
        <v>243</v>
      </c>
      <c r="J64" s="11">
        <v>44777</v>
      </c>
      <c r="K64" s="13">
        <v>222</v>
      </c>
      <c r="L64" s="12">
        <v>3553996.19</v>
      </c>
      <c r="M64" s="11">
        <f t="shared" si="8"/>
        <v>45059</v>
      </c>
      <c r="N64" s="13">
        <f>0+60</f>
        <v>60</v>
      </c>
      <c r="O64" s="12">
        <v>0</v>
      </c>
      <c r="P64" s="12">
        <v>0</v>
      </c>
      <c r="Q64" s="13" t="s">
        <v>41</v>
      </c>
      <c r="R64" s="12">
        <f>0+1049635.95</f>
        <v>1049635.95</v>
      </c>
      <c r="S64" s="12">
        <v>1049635.95</v>
      </c>
      <c r="T64" s="12">
        <f t="shared" si="9"/>
        <v>1049635.95</v>
      </c>
      <c r="U64" s="12">
        <f>S64</f>
        <v>1049635.95</v>
      </c>
      <c r="V64" s="26" t="s">
        <v>42</v>
      </c>
      <c r="W64" s="9">
        <f t="shared" si="10"/>
        <v>0</v>
      </c>
      <c r="X64" s="9"/>
      <c r="Y64" s="9">
        <f t="shared" si="11"/>
        <v>0</v>
      </c>
      <c r="Z64" s="8" t="str">
        <f t="shared" si="12"/>
        <v>and</v>
      </c>
    </row>
    <row r="65" spans="1:29" ht="53.6">
      <c r="A65" s="25" t="s">
        <v>244</v>
      </c>
      <c r="B65" s="25" t="s">
        <v>245</v>
      </c>
      <c r="C65" s="25">
        <v>0</v>
      </c>
      <c r="D65" s="12">
        <v>0</v>
      </c>
      <c r="E65" s="12">
        <v>0</v>
      </c>
      <c r="F65" s="12">
        <v>0</v>
      </c>
      <c r="G65" s="25" t="s">
        <v>246</v>
      </c>
      <c r="H65" s="25" t="s">
        <v>247</v>
      </c>
      <c r="I65" s="13" t="s">
        <v>248</v>
      </c>
      <c r="J65" s="11">
        <v>44782</v>
      </c>
      <c r="K65" s="13">
        <v>150</v>
      </c>
      <c r="L65" s="12">
        <v>274949.26</v>
      </c>
      <c r="M65" s="11">
        <f t="shared" si="8"/>
        <v>44992</v>
      </c>
      <c r="N65" s="13">
        <v>60</v>
      </c>
      <c r="O65" s="12">
        <v>0</v>
      </c>
      <c r="P65" s="12">
        <v>0</v>
      </c>
      <c r="Q65" s="13" t="s">
        <v>41</v>
      </c>
      <c r="R65" s="12">
        <f>169968.53+23302</f>
        <v>193270.53</v>
      </c>
      <c r="S65" s="12">
        <v>23302</v>
      </c>
      <c r="T65" s="12">
        <f t="shared" si="9"/>
        <v>23302</v>
      </c>
      <c r="U65" s="12">
        <f>169968.53+S65</f>
        <v>193270.53</v>
      </c>
      <c r="V65" s="26" t="s">
        <v>42</v>
      </c>
      <c r="W65" s="9">
        <f t="shared" si="10"/>
        <v>0</v>
      </c>
      <c r="X65" s="9"/>
      <c r="Y65" s="9">
        <f t="shared" si="11"/>
        <v>0</v>
      </c>
      <c r="Z65" s="8" t="str">
        <f t="shared" si="12"/>
        <v>enc</v>
      </c>
    </row>
    <row r="66" spans="1:29" ht="32.15">
      <c r="A66" s="25" t="s">
        <v>423</v>
      </c>
      <c r="B66" s="25" t="s">
        <v>249</v>
      </c>
      <c r="C66" s="25">
        <v>0</v>
      </c>
      <c r="D66" s="12">
        <v>0</v>
      </c>
      <c r="E66" s="12">
        <v>0</v>
      </c>
      <c r="F66" s="12">
        <v>0</v>
      </c>
      <c r="G66" s="25" t="s">
        <v>143</v>
      </c>
      <c r="H66" s="25" t="s">
        <v>144</v>
      </c>
      <c r="I66" s="13" t="s">
        <v>250</v>
      </c>
      <c r="J66" s="11">
        <v>44530</v>
      </c>
      <c r="K66" s="13">
        <v>1920</v>
      </c>
      <c r="L66" s="12">
        <v>133146086.40000001</v>
      </c>
      <c r="M66" s="11">
        <f t="shared" si="8"/>
        <v>46450</v>
      </c>
      <c r="N66" s="13">
        <v>0</v>
      </c>
      <c r="O66" s="12">
        <v>0</v>
      </c>
      <c r="P66" s="12">
        <v>28492880.399999999</v>
      </c>
      <c r="Q66" s="13" t="s">
        <v>47</v>
      </c>
      <c r="R66" s="12">
        <f>26679955.18+5827095.79</f>
        <v>32507050.969999999</v>
      </c>
      <c r="S66" s="12">
        <v>8254849.1799999997</v>
      </c>
      <c r="T66" s="12">
        <f t="shared" si="9"/>
        <v>8254849.1799999997</v>
      </c>
      <c r="U66" s="12">
        <f>23980066.72+S66</f>
        <v>32234915.899999999</v>
      </c>
      <c r="V66" s="26" t="s">
        <v>42</v>
      </c>
      <c r="W66" s="9">
        <f t="shared" si="10"/>
        <v>-272135.0700000003</v>
      </c>
      <c r="X66" s="9">
        <v>272135.07</v>
      </c>
      <c r="Y66" s="9">
        <f t="shared" si="11"/>
        <v>0</v>
      </c>
      <c r="Z66" s="8" t="str">
        <f t="shared" si="12"/>
        <v>and</v>
      </c>
    </row>
    <row r="67" spans="1:29" ht="42.9">
      <c r="A67" s="25" t="s">
        <v>251</v>
      </c>
      <c r="B67" s="25" t="s">
        <v>252</v>
      </c>
      <c r="C67" s="25">
        <v>0</v>
      </c>
      <c r="D67" s="12">
        <v>0</v>
      </c>
      <c r="E67" s="12">
        <v>0</v>
      </c>
      <c r="F67" s="12">
        <v>0</v>
      </c>
      <c r="G67" s="25" t="s">
        <v>38</v>
      </c>
      <c r="H67" s="25" t="s">
        <v>39</v>
      </c>
      <c r="I67" s="13" t="s">
        <v>253</v>
      </c>
      <c r="J67" s="11">
        <v>44785</v>
      </c>
      <c r="K67" s="13">
        <v>240</v>
      </c>
      <c r="L67" s="12">
        <v>661511.15</v>
      </c>
      <c r="M67" s="11">
        <f t="shared" si="8"/>
        <v>45115</v>
      </c>
      <c r="N67" s="13">
        <f>0+90</f>
        <v>90</v>
      </c>
      <c r="O67" s="12">
        <v>0</v>
      </c>
      <c r="P67" s="12">
        <v>0</v>
      </c>
      <c r="Q67" s="13" t="s">
        <v>41</v>
      </c>
      <c r="R67" s="12">
        <f>55477.62+135149.42</f>
        <v>190627.04</v>
      </c>
      <c r="S67" s="12">
        <v>24309.53</v>
      </c>
      <c r="T67" s="12">
        <f t="shared" si="9"/>
        <v>24309.53</v>
      </c>
      <c r="U67" s="12">
        <f>55477.62+S67</f>
        <v>79787.149999999994</v>
      </c>
      <c r="V67" s="26" t="s">
        <v>42</v>
      </c>
      <c r="W67" s="9">
        <f t="shared" si="10"/>
        <v>-110839.89000000001</v>
      </c>
      <c r="X67" s="9">
        <v>110839.89</v>
      </c>
      <c r="Y67" s="9">
        <f t="shared" si="11"/>
        <v>0</v>
      </c>
      <c r="Z67" s="8" t="str">
        <f t="shared" si="12"/>
        <v>and</v>
      </c>
    </row>
    <row r="68" spans="1:29" ht="42.9">
      <c r="A68" s="25" t="s">
        <v>254</v>
      </c>
      <c r="B68" s="25" t="s">
        <v>255</v>
      </c>
      <c r="C68" s="25">
        <v>0</v>
      </c>
      <c r="D68" s="12">
        <v>0</v>
      </c>
      <c r="E68" s="12">
        <v>0</v>
      </c>
      <c r="F68" s="12">
        <v>0</v>
      </c>
      <c r="G68" s="25" t="s">
        <v>99</v>
      </c>
      <c r="H68" s="25" t="s">
        <v>100</v>
      </c>
      <c r="I68" s="13" t="s">
        <v>256</v>
      </c>
      <c r="J68" s="11">
        <v>44799</v>
      </c>
      <c r="K68" s="13">
        <v>390</v>
      </c>
      <c r="L68" s="12">
        <v>1839293.99</v>
      </c>
      <c r="M68" s="11">
        <f t="shared" si="8"/>
        <v>45189</v>
      </c>
      <c r="N68" s="13">
        <v>0</v>
      </c>
      <c r="O68" s="12">
        <v>0</v>
      </c>
      <c r="P68" s="12">
        <v>0</v>
      </c>
      <c r="Q68" s="13" t="s">
        <v>41</v>
      </c>
      <c r="R68" s="12">
        <f>262502.16+108045.21</f>
        <v>370547.37</v>
      </c>
      <c r="S68" s="12">
        <v>108045.21</v>
      </c>
      <c r="T68" s="12">
        <f t="shared" si="9"/>
        <v>108045.21</v>
      </c>
      <c r="U68" s="12">
        <f>262502.16+S68</f>
        <v>370547.37</v>
      </c>
      <c r="V68" s="26" t="s">
        <v>42</v>
      </c>
      <c r="W68" s="9">
        <f t="shared" si="10"/>
        <v>0</v>
      </c>
      <c r="X68" s="9"/>
      <c r="Y68" s="9">
        <f t="shared" si="11"/>
        <v>0</v>
      </c>
      <c r="Z68" s="8" t="str">
        <f t="shared" si="12"/>
        <v>and</v>
      </c>
    </row>
    <row r="69" spans="1:29" ht="21.45">
      <c r="A69" s="25" t="s">
        <v>257</v>
      </c>
      <c r="B69" s="25" t="s">
        <v>258</v>
      </c>
      <c r="C69" s="25">
        <v>0</v>
      </c>
      <c r="D69" s="12">
        <v>0</v>
      </c>
      <c r="E69" s="12">
        <v>0</v>
      </c>
      <c r="F69" s="12">
        <v>0</v>
      </c>
      <c r="G69" s="25" t="s">
        <v>259</v>
      </c>
      <c r="H69" s="25" t="s">
        <v>260</v>
      </c>
      <c r="I69" s="13" t="s">
        <v>261</v>
      </c>
      <c r="J69" s="11">
        <v>44531</v>
      </c>
      <c r="K69" s="13">
        <v>1155</v>
      </c>
      <c r="L69" s="12">
        <v>6729243.9000000004</v>
      </c>
      <c r="M69" s="11">
        <f t="shared" si="8"/>
        <v>45686</v>
      </c>
      <c r="N69" s="13">
        <v>0</v>
      </c>
      <c r="O69" s="12">
        <v>54430.78</v>
      </c>
      <c r="P69" s="12">
        <f>-2082965.4+503655.39</f>
        <v>-1579310.0099999998</v>
      </c>
      <c r="Q69" s="13" t="s">
        <v>47</v>
      </c>
      <c r="R69" s="12">
        <f>1324448.23+376139.35</f>
        <v>1700587.58</v>
      </c>
      <c r="S69" s="12">
        <v>253836.39</v>
      </c>
      <c r="T69" s="12">
        <f t="shared" si="9"/>
        <v>253836.39</v>
      </c>
      <c r="U69" s="12">
        <f>1324448.23+S69</f>
        <v>1578284.62</v>
      </c>
      <c r="V69" s="26" t="s">
        <v>42</v>
      </c>
      <c r="W69" s="9">
        <f t="shared" si="10"/>
        <v>-122302.95999999996</v>
      </c>
      <c r="X69" s="9">
        <v>122302.95999999999</v>
      </c>
      <c r="Y69" s="9">
        <f t="shared" si="11"/>
        <v>0</v>
      </c>
      <c r="Z69" s="8" t="str">
        <f t="shared" si="12"/>
        <v>and</v>
      </c>
    </row>
    <row r="70" spans="1:29" ht="21.45">
      <c r="A70" s="25" t="s">
        <v>262</v>
      </c>
      <c r="B70" s="25" t="s">
        <v>263</v>
      </c>
      <c r="C70" s="25" t="s">
        <v>440</v>
      </c>
      <c r="D70" s="12" t="s">
        <v>441</v>
      </c>
      <c r="E70" s="12">
        <v>0</v>
      </c>
      <c r="F70" s="12">
        <v>0</v>
      </c>
      <c r="G70" s="25" t="s">
        <v>81</v>
      </c>
      <c r="H70" s="25" t="s">
        <v>82</v>
      </c>
      <c r="I70" s="13" t="s">
        <v>264</v>
      </c>
      <c r="J70" s="11">
        <v>44799</v>
      </c>
      <c r="K70" s="13">
        <v>240</v>
      </c>
      <c r="L70" s="12">
        <v>2137870.29</v>
      </c>
      <c r="M70" s="11">
        <f t="shared" si="8"/>
        <v>45160</v>
      </c>
      <c r="N70" s="13">
        <f>60+61</f>
        <v>121</v>
      </c>
      <c r="O70" s="12">
        <v>382686.6</v>
      </c>
      <c r="P70" s="12">
        <v>0</v>
      </c>
      <c r="Q70" s="13" t="s">
        <v>41</v>
      </c>
      <c r="R70" s="12">
        <f>1427338.21+405623.07</f>
        <v>1832961.28</v>
      </c>
      <c r="S70" s="12"/>
      <c r="T70" s="12">
        <f t="shared" si="9"/>
        <v>0</v>
      </c>
      <c r="U70" s="12">
        <f>1427338.21+S70</f>
        <v>1427338.21</v>
      </c>
      <c r="V70" s="26" t="s">
        <v>42</v>
      </c>
      <c r="W70" s="9">
        <f t="shared" si="10"/>
        <v>-405623.07000000007</v>
      </c>
      <c r="X70" s="9">
        <v>405623.07</v>
      </c>
      <c r="Y70" s="9">
        <f t="shared" si="11"/>
        <v>0</v>
      </c>
      <c r="Z70" s="8" t="str">
        <f t="shared" si="12"/>
        <v>and</v>
      </c>
    </row>
    <row r="71" spans="1:29" ht="42.9">
      <c r="A71" s="25" t="s">
        <v>265</v>
      </c>
      <c r="B71" s="25" t="s">
        <v>266</v>
      </c>
      <c r="C71" s="25">
        <v>0</v>
      </c>
      <c r="D71" s="12">
        <v>0</v>
      </c>
      <c r="E71" s="12">
        <v>0</v>
      </c>
      <c r="F71" s="12">
        <v>0</v>
      </c>
      <c r="G71" s="25" t="s">
        <v>267</v>
      </c>
      <c r="H71" s="25" t="s">
        <v>268</v>
      </c>
      <c r="I71" s="13" t="s">
        <v>269</v>
      </c>
      <c r="J71" s="11">
        <v>44531</v>
      </c>
      <c r="K71" s="13">
        <v>760</v>
      </c>
      <c r="L71" s="12">
        <v>3696587.52</v>
      </c>
      <c r="M71" s="11">
        <f t="shared" si="8"/>
        <v>45291</v>
      </c>
      <c r="N71" s="13">
        <v>0</v>
      </c>
      <c r="O71" s="12"/>
      <c r="P71" s="12">
        <v>0</v>
      </c>
      <c r="Q71" s="13" t="s">
        <v>47</v>
      </c>
      <c r="R71" s="12">
        <f>1955346.96+308048.96</f>
        <v>2263395.92</v>
      </c>
      <c r="S71" s="12">
        <v>308048.96000000002</v>
      </c>
      <c r="T71" s="12">
        <f t="shared" si="9"/>
        <v>308048.96000000002</v>
      </c>
      <c r="U71" s="12">
        <f>1955346.96+S71</f>
        <v>2263395.92</v>
      </c>
      <c r="V71" s="26" t="s">
        <v>42</v>
      </c>
      <c r="W71" s="9">
        <f t="shared" si="10"/>
        <v>0</v>
      </c>
      <c r="X71" s="9"/>
      <c r="Y71" s="9">
        <f t="shared" si="11"/>
        <v>0</v>
      </c>
      <c r="Z71" s="8" t="str">
        <f t="shared" si="12"/>
        <v>and</v>
      </c>
    </row>
    <row r="72" spans="1:29" ht="21.45">
      <c r="A72" s="25" t="s">
        <v>270</v>
      </c>
      <c r="B72" s="25" t="s">
        <v>271</v>
      </c>
      <c r="C72" s="25">
        <v>0</v>
      </c>
      <c r="D72" s="12">
        <v>0</v>
      </c>
      <c r="E72" s="12">
        <v>0</v>
      </c>
      <c r="F72" s="12">
        <v>0</v>
      </c>
      <c r="G72" s="25" t="s">
        <v>143</v>
      </c>
      <c r="H72" s="25" t="s">
        <v>144</v>
      </c>
      <c r="I72" s="13" t="s">
        <v>272</v>
      </c>
      <c r="J72" s="11">
        <v>44802</v>
      </c>
      <c r="K72" s="13">
        <v>1155</v>
      </c>
      <c r="L72" s="12">
        <v>34378587.229999997</v>
      </c>
      <c r="M72" s="11">
        <f t="shared" si="8"/>
        <v>45957</v>
      </c>
      <c r="N72" s="13">
        <v>0</v>
      </c>
      <c r="O72" s="12">
        <v>265138.75</v>
      </c>
      <c r="P72" s="12">
        <v>0</v>
      </c>
      <c r="Q72" s="13" t="s">
        <v>47</v>
      </c>
      <c r="R72" s="12">
        <f>3005886.12+2004385.32</f>
        <v>5010271.4400000004</v>
      </c>
      <c r="S72" s="12">
        <v>1924098.52</v>
      </c>
      <c r="T72" s="12">
        <f t="shared" si="9"/>
        <v>1924098.52</v>
      </c>
      <c r="U72" s="12">
        <f>2341026.15+S72</f>
        <v>4265124.67</v>
      </c>
      <c r="V72" s="26" t="s">
        <v>42</v>
      </c>
      <c r="W72" s="9">
        <f t="shared" si="10"/>
        <v>-745146.77000000048</v>
      </c>
      <c r="X72" s="9">
        <f>304394.2+440752.57</f>
        <v>745146.77</v>
      </c>
      <c r="Y72" s="9">
        <f t="shared" si="11"/>
        <v>0</v>
      </c>
      <c r="Z72" s="8" t="str">
        <f t="shared" si="12"/>
        <v>and</v>
      </c>
      <c r="AC72" s="8"/>
    </row>
    <row r="73" spans="1:29" ht="42.9">
      <c r="A73" s="25" t="s">
        <v>265</v>
      </c>
      <c r="B73" s="25" t="s">
        <v>273</v>
      </c>
      <c r="C73" s="25">
        <v>0</v>
      </c>
      <c r="D73" s="12">
        <v>0</v>
      </c>
      <c r="E73" s="12">
        <v>0</v>
      </c>
      <c r="F73" s="12">
        <v>0</v>
      </c>
      <c r="G73" s="25" t="s">
        <v>267</v>
      </c>
      <c r="H73" s="25" t="s">
        <v>268</v>
      </c>
      <c r="I73" s="13" t="s">
        <v>274</v>
      </c>
      <c r="J73" s="11">
        <v>44532</v>
      </c>
      <c r="K73" s="13">
        <v>760</v>
      </c>
      <c r="L73" s="12">
        <v>3380477.52</v>
      </c>
      <c r="M73" s="11">
        <f t="shared" si="8"/>
        <v>45292</v>
      </c>
      <c r="N73" s="13">
        <v>0</v>
      </c>
      <c r="O73" s="12">
        <v>255909.3</v>
      </c>
      <c r="P73" s="12">
        <v>0</v>
      </c>
      <c r="Q73" s="13" t="s">
        <v>47</v>
      </c>
      <c r="R73" s="12">
        <f>1898738.77+315827.7</f>
        <v>2214566.4700000002</v>
      </c>
      <c r="S73" s="12">
        <v>456680.93</v>
      </c>
      <c r="T73" s="12">
        <f t="shared" si="9"/>
        <v>456680.93</v>
      </c>
      <c r="U73" s="12">
        <f>1757885.54+S73</f>
        <v>2214566.4700000002</v>
      </c>
      <c r="V73" s="26" t="s">
        <v>42</v>
      </c>
      <c r="W73" s="9">
        <f t="shared" si="10"/>
        <v>0</v>
      </c>
      <c r="X73" s="9"/>
      <c r="Y73" s="9">
        <f t="shared" si="11"/>
        <v>0</v>
      </c>
      <c r="Z73" s="8" t="str">
        <f t="shared" si="12"/>
        <v>and</v>
      </c>
    </row>
    <row r="74" spans="1:29" ht="21.45">
      <c r="A74" s="25" t="s">
        <v>270</v>
      </c>
      <c r="B74" s="25" t="s">
        <v>275</v>
      </c>
      <c r="C74" s="25">
        <v>0</v>
      </c>
      <c r="D74" s="12">
        <v>0</v>
      </c>
      <c r="E74" s="12">
        <v>0</v>
      </c>
      <c r="F74" s="12">
        <v>0</v>
      </c>
      <c r="G74" s="25" t="s">
        <v>61</v>
      </c>
      <c r="H74" s="25" t="s">
        <v>62</v>
      </c>
      <c r="I74" s="13" t="s">
        <v>276</v>
      </c>
      <c r="J74" s="11">
        <v>44802</v>
      </c>
      <c r="K74" s="13">
        <v>1155</v>
      </c>
      <c r="L74" s="12">
        <v>35796096.350000001</v>
      </c>
      <c r="M74" s="11">
        <f t="shared" si="8"/>
        <v>45957</v>
      </c>
      <c r="N74" s="13">
        <v>0</v>
      </c>
      <c r="O74" s="12">
        <v>0</v>
      </c>
      <c r="P74" s="12">
        <v>0</v>
      </c>
      <c r="Q74" s="13" t="s">
        <v>47</v>
      </c>
      <c r="R74" s="12">
        <f>4332623.91+1721893.91</f>
        <v>6054517.8200000003</v>
      </c>
      <c r="S74" s="12">
        <v>1936640.17</v>
      </c>
      <c r="T74" s="12">
        <f t="shared" si="9"/>
        <v>1936640.17</v>
      </c>
      <c r="U74" s="12">
        <f>3797765.26+S74</f>
        <v>5734405.4299999997</v>
      </c>
      <c r="V74" s="26" t="s">
        <v>42</v>
      </c>
      <c r="W74" s="9">
        <f t="shared" si="10"/>
        <v>-320112.3900000006</v>
      </c>
      <c r="X74" s="9">
        <v>320112.39</v>
      </c>
      <c r="Y74" s="9">
        <f t="shared" si="11"/>
        <v>-5.8207660913467407E-10</v>
      </c>
      <c r="Z74" s="8" t="str">
        <f t="shared" si="12"/>
        <v>and</v>
      </c>
    </row>
    <row r="75" spans="1:29" ht="64.3">
      <c r="A75" s="25" t="s">
        <v>422</v>
      </c>
      <c r="B75" s="25" t="s">
        <v>277</v>
      </c>
      <c r="C75" s="25">
        <v>0</v>
      </c>
      <c r="D75" s="12">
        <v>0</v>
      </c>
      <c r="E75" s="12">
        <v>0</v>
      </c>
      <c r="F75" s="12">
        <v>0</v>
      </c>
      <c r="G75" s="25" t="s">
        <v>278</v>
      </c>
      <c r="H75" s="25" t="s">
        <v>279</v>
      </c>
      <c r="I75" s="13" t="s">
        <v>280</v>
      </c>
      <c r="J75" s="11">
        <v>44531</v>
      </c>
      <c r="K75" s="13">
        <v>1890</v>
      </c>
      <c r="L75" s="12">
        <v>39551349</v>
      </c>
      <c r="M75" s="11">
        <f t="shared" si="8"/>
        <v>46421</v>
      </c>
      <c r="N75" s="13">
        <v>0</v>
      </c>
      <c r="O75" s="12">
        <v>0</v>
      </c>
      <c r="P75" s="12">
        <f>0+2254425.6</f>
        <v>2254425.6</v>
      </c>
      <c r="Q75" s="13" t="s">
        <v>47</v>
      </c>
      <c r="R75" s="12">
        <f>7932527.39+1393525.82</f>
        <v>9326053.209999999</v>
      </c>
      <c r="S75" s="12">
        <v>1318378.3</v>
      </c>
      <c r="T75" s="12">
        <f t="shared" si="9"/>
        <v>1318378.3</v>
      </c>
      <c r="U75" s="12">
        <f>7273338.24+S75</f>
        <v>8591716.540000001</v>
      </c>
      <c r="V75" s="26" t="s">
        <v>42</v>
      </c>
      <c r="W75" s="9">
        <f t="shared" si="10"/>
        <v>-734336.66999999806</v>
      </c>
      <c r="X75" s="9">
        <f>37573.76*2+659189.15</f>
        <v>734336.67</v>
      </c>
      <c r="Y75" s="9">
        <f t="shared" si="11"/>
        <v>1.9790604710578918E-9</v>
      </c>
      <c r="Z75" s="8" t="str">
        <f t="shared" si="12"/>
        <v>and</v>
      </c>
    </row>
    <row r="76" spans="1:29" ht="42.9">
      <c r="A76" s="25" t="s">
        <v>281</v>
      </c>
      <c r="B76" s="25" t="s">
        <v>282</v>
      </c>
      <c r="C76" s="25" t="s">
        <v>438</v>
      </c>
      <c r="D76" s="12" t="s">
        <v>439</v>
      </c>
      <c r="E76" s="12">
        <v>0</v>
      </c>
      <c r="F76" s="12">
        <v>0</v>
      </c>
      <c r="G76" s="25" t="s">
        <v>283</v>
      </c>
      <c r="H76" s="25" t="s">
        <v>284</v>
      </c>
      <c r="I76" s="13" t="s">
        <v>285</v>
      </c>
      <c r="J76" s="11">
        <v>44812</v>
      </c>
      <c r="K76" s="13">
        <v>270</v>
      </c>
      <c r="L76" s="12">
        <v>3825898.74</v>
      </c>
      <c r="M76" s="11">
        <f t="shared" si="8"/>
        <v>45082</v>
      </c>
      <c r="N76" s="13">
        <v>0</v>
      </c>
      <c r="O76" s="12">
        <v>0</v>
      </c>
      <c r="P76" s="12">
        <v>0</v>
      </c>
      <c r="Q76" s="13" t="s">
        <v>41</v>
      </c>
      <c r="R76" s="12">
        <f>47529.9+347289.92</f>
        <v>394819.82</v>
      </c>
      <c r="S76" s="12">
        <v>394819.82</v>
      </c>
      <c r="T76" s="12">
        <f t="shared" si="9"/>
        <v>394819.82</v>
      </c>
      <c r="U76" s="12">
        <f>S76</f>
        <v>394819.82</v>
      </c>
      <c r="V76" s="26" t="s">
        <v>42</v>
      </c>
      <c r="W76" s="9">
        <f t="shared" si="10"/>
        <v>0</v>
      </c>
      <c r="X76" s="9"/>
      <c r="Y76" s="9">
        <f t="shared" si="11"/>
        <v>0</v>
      </c>
      <c r="Z76" s="8" t="str">
        <f t="shared" si="12"/>
        <v>and</v>
      </c>
    </row>
    <row r="77" spans="1:29" ht="32.15">
      <c r="A77" s="25" t="s">
        <v>286</v>
      </c>
      <c r="B77" s="25" t="s">
        <v>287</v>
      </c>
      <c r="C77" s="25" t="s">
        <v>438</v>
      </c>
      <c r="D77" s="12" t="s">
        <v>439</v>
      </c>
      <c r="E77" s="12">
        <v>0</v>
      </c>
      <c r="F77" s="12">
        <v>0</v>
      </c>
      <c r="G77" s="25" t="s">
        <v>283</v>
      </c>
      <c r="H77" s="25" t="s">
        <v>284</v>
      </c>
      <c r="I77" s="13" t="s">
        <v>288</v>
      </c>
      <c r="J77" s="11">
        <v>44803</v>
      </c>
      <c r="K77" s="13">
        <v>270</v>
      </c>
      <c r="L77" s="12">
        <v>8106707.0800000001</v>
      </c>
      <c r="M77" s="11">
        <f t="shared" si="8"/>
        <v>45073</v>
      </c>
      <c r="N77" s="13">
        <v>0</v>
      </c>
      <c r="O77" s="12">
        <v>0</v>
      </c>
      <c r="P77" s="12">
        <v>0</v>
      </c>
      <c r="Q77" s="13" t="s">
        <v>41</v>
      </c>
      <c r="R77" s="12">
        <f>334377.5+344488.63</f>
        <v>678866.13</v>
      </c>
      <c r="S77" s="12">
        <v>536249.41</v>
      </c>
      <c r="T77" s="12">
        <f t="shared" si="9"/>
        <v>536249.41</v>
      </c>
      <c r="U77" s="12">
        <f>S77</f>
        <v>536249.41</v>
      </c>
      <c r="V77" s="26" t="s">
        <v>42</v>
      </c>
      <c r="W77" s="9">
        <f t="shared" si="10"/>
        <v>-142616.71999999997</v>
      </c>
      <c r="X77" s="9"/>
      <c r="Y77" s="9">
        <f t="shared" si="11"/>
        <v>-142616.71999999997</v>
      </c>
      <c r="Z77" s="8" t="str">
        <f t="shared" si="12"/>
        <v>and</v>
      </c>
      <c r="AC77" s="8"/>
    </row>
    <row r="78" spans="1:29" ht="53.6">
      <c r="A78" s="25" t="s">
        <v>289</v>
      </c>
      <c r="B78" s="25" t="s">
        <v>290</v>
      </c>
      <c r="C78" s="25" t="s">
        <v>291</v>
      </c>
      <c r="D78" s="12" t="s">
        <v>80</v>
      </c>
      <c r="E78" s="12">
        <v>355737</v>
      </c>
      <c r="F78" s="12">
        <v>2000</v>
      </c>
      <c r="G78" s="25" t="s">
        <v>74</v>
      </c>
      <c r="H78" s="25" t="s">
        <v>75</v>
      </c>
      <c r="I78" s="13" t="s">
        <v>292</v>
      </c>
      <c r="J78" s="11">
        <v>44603</v>
      </c>
      <c r="K78" s="13">
        <v>150</v>
      </c>
      <c r="L78" s="12">
        <v>193107.81</v>
      </c>
      <c r="M78" s="11">
        <f t="shared" si="8"/>
        <v>45023</v>
      </c>
      <c r="N78" s="13">
        <f>90+180</f>
        <v>270</v>
      </c>
      <c r="O78" s="12">
        <v>0</v>
      </c>
      <c r="P78" s="12">
        <v>0</v>
      </c>
      <c r="Q78" s="13" t="s">
        <v>41</v>
      </c>
      <c r="R78" s="12">
        <v>189710.37</v>
      </c>
      <c r="S78" s="12"/>
      <c r="T78" s="12">
        <f t="shared" si="9"/>
        <v>0</v>
      </c>
      <c r="U78" s="12">
        <f>S78</f>
        <v>0</v>
      </c>
      <c r="V78" s="26" t="s">
        <v>42</v>
      </c>
      <c r="W78" s="9">
        <f t="shared" si="10"/>
        <v>-189710.37</v>
      </c>
      <c r="X78" s="9"/>
      <c r="Y78" s="9">
        <f t="shared" si="11"/>
        <v>-189710.37</v>
      </c>
      <c r="Z78" s="8" t="str">
        <f t="shared" si="12"/>
        <v>and</v>
      </c>
    </row>
    <row r="79" spans="1:29" ht="32.15">
      <c r="A79" s="25" t="s">
        <v>293</v>
      </c>
      <c r="B79" s="25" t="s">
        <v>294</v>
      </c>
      <c r="C79" s="25" t="s">
        <v>438</v>
      </c>
      <c r="D79" s="12" t="s">
        <v>439</v>
      </c>
      <c r="E79" s="12">
        <v>0</v>
      </c>
      <c r="F79" s="12">
        <v>0</v>
      </c>
      <c r="G79" s="25" t="s">
        <v>61</v>
      </c>
      <c r="H79" s="25" t="s">
        <v>62</v>
      </c>
      <c r="I79" s="13" t="s">
        <v>295</v>
      </c>
      <c r="J79" s="11">
        <v>44817</v>
      </c>
      <c r="K79" s="13">
        <v>240</v>
      </c>
      <c r="L79" s="12">
        <v>4111668.75</v>
      </c>
      <c r="M79" s="11">
        <f t="shared" si="8"/>
        <v>45057</v>
      </c>
      <c r="N79" s="13">
        <v>0</v>
      </c>
      <c r="O79" s="12">
        <v>0</v>
      </c>
      <c r="P79" s="12">
        <v>0</v>
      </c>
      <c r="Q79" s="13" t="s">
        <v>41</v>
      </c>
      <c r="R79" s="12">
        <f>548186.37+958171.1</f>
        <v>1506357.47</v>
      </c>
      <c r="S79" s="12">
        <v>1033615.85</v>
      </c>
      <c r="T79" s="12">
        <f t="shared" si="9"/>
        <v>1033615.85</v>
      </c>
      <c r="U79" s="12">
        <f>S79</f>
        <v>1033615.85</v>
      </c>
      <c r="V79" s="26" t="s">
        <v>42</v>
      </c>
      <c r="W79" s="9">
        <f t="shared" si="10"/>
        <v>-472741.62</v>
      </c>
      <c r="X79" s="9">
        <v>472741.62</v>
      </c>
      <c r="Y79" s="9">
        <f t="shared" si="11"/>
        <v>0</v>
      </c>
      <c r="Z79" s="8" t="str">
        <f t="shared" si="12"/>
        <v>and</v>
      </c>
    </row>
    <row r="80" spans="1:29" ht="53.6">
      <c r="A80" s="25" t="s">
        <v>289</v>
      </c>
      <c r="B80" s="25" t="s">
        <v>290</v>
      </c>
      <c r="C80" s="25" t="s">
        <v>291</v>
      </c>
      <c r="D80" s="12" t="s">
        <v>80</v>
      </c>
      <c r="E80" s="12">
        <v>355737</v>
      </c>
      <c r="F80" s="12">
        <v>2000</v>
      </c>
      <c r="G80" s="25" t="s">
        <v>74</v>
      </c>
      <c r="H80" s="25" t="s">
        <v>75</v>
      </c>
      <c r="I80" s="13" t="s">
        <v>296</v>
      </c>
      <c r="J80" s="11">
        <v>44603</v>
      </c>
      <c r="K80" s="13">
        <v>150</v>
      </c>
      <c r="L80" s="12">
        <v>119800.38</v>
      </c>
      <c r="M80" s="11">
        <f t="shared" si="8"/>
        <v>45113</v>
      </c>
      <c r="N80" s="13">
        <f>270+90</f>
        <v>360</v>
      </c>
      <c r="O80" s="12">
        <v>0</v>
      </c>
      <c r="P80" s="12">
        <v>-48.25</v>
      </c>
      <c r="Q80" s="13" t="s">
        <v>41</v>
      </c>
      <c r="R80" s="12">
        <v>5813.89</v>
      </c>
      <c r="S80" s="12"/>
      <c r="T80" s="12">
        <f t="shared" si="9"/>
        <v>0</v>
      </c>
      <c r="U80" s="12">
        <f>S80</f>
        <v>0</v>
      </c>
      <c r="V80" s="26" t="s">
        <v>42</v>
      </c>
      <c r="W80" s="9">
        <f t="shared" si="10"/>
        <v>-5813.89</v>
      </c>
      <c r="X80" s="9">
        <v>5813.89</v>
      </c>
      <c r="Y80" s="9">
        <f t="shared" si="11"/>
        <v>0</v>
      </c>
      <c r="Z80" s="8" t="str">
        <f t="shared" si="12"/>
        <v>and</v>
      </c>
    </row>
    <row r="81" spans="1:26" ht="64.3">
      <c r="A81" s="25" t="s">
        <v>297</v>
      </c>
      <c r="B81" s="25" t="s">
        <v>298</v>
      </c>
      <c r="C81" s="25">
        <v>0</v>
      </c>
      <c r="D81" s="12">
        <v>0</v>
      </c>
      <c r="E81" s="12">
        <v>0</v>
      </c>
      <c r="F81" s="12">
        <v>0</v>
      </c>
      <c r="G81" s="25" t="s">
        <v>236</v>
      </c>
      <c r="H81" s="25" t="s">
        <v>237</v>
      </c>
      <c r="I81" s="13" t="s">
        <v>299</v>
      </c>
      <c r="J81" s="11">
        <v>44823</v>
      </c>
      <c r="K81" s="13">
        <v>365</v>
      </c>
      <c r="L81" s="12">
        <v>2031400</v>
      </c>
      <c r="M81" s="11">
        <f t="shared" si="8"/>
        <v>45188</v>
      </c>
      <c r="N81" s="13">
        <v>0</v>
      </c>
      <c r="O81" s="12">
        <v>0</v>
      </c>
      <c r="P81" s="12">
        <v>0</v>
      </c>
      <c r="Q81" s="13" t="s">
        <v>47</v>
      </c>
      <c r="R81" s="12">
        <f>341971.68+211962.08</f>
        <v>553933.76</v>
      </c>
      <c r="S81" s="12">
        <v>240982.08</v>
      </c>
      <c r="T81" s="12">
        <f t="shared" si="9"/>
        <v>240982.08</v>
      </c>
      <c r="U81" s="12">
        <f>312951.68+S81</f>
        <v>553933.76</v>
      </c>
      <c r="V81" s="26" t="s">
        <v>42</v>
      </c>
      <c r="W81" s="9">
        <f t="shared" si="10"/>
        <v>0</v>
      </c>
      <c r="X81" s="9"/>
      <c r="Y81" s="9">
        <f t="shared" si="11"/>
        <v>0</v>
      </c>
      <c r="Z81" s="8" t="str">
        <f t="shared" si="12"/>
        <v>and</v>
      </c>
    </row>
    <row r="82" spans="1:26" ht="42.9">
      <c r="A82" s="25" t="s">
        <v>300</v>
      </c>
      <c r="B82" s="25" t="s">
        <v>301</v>
      </c>
      <c r="C82" s="25">
        <v>0</v>
      </c>
      <c r="D82" s="12">
        <v>0</v>
      </c>
      <c r="E82" s="12">
        <v>0</v>
      </c>
      <c r="F82" s="12">
        <v>0</v>
      </c>
      <c r="G82" s="25" t="s">
        <v>283</v>
      </c>
      <c r="H82" s="25" t="s">
        <v>284</v>
      </c>
      <c r="I82" s="13" t="s">
        <v>302</v>
      </c>
      <c r="J82" s="11">
        <v>44607</v>
      </c>
      <c r="K82" s="13">
        <v>180</v>
      </c>
      <c r="L82" s="12">
        <v>836036.43</v>
      </c>
      <c r="M82" s="11">
        <f t="shared" si="8"/>
        <v>45117</v>
      </c>
      <c r="N82" s="13">
        <f>270+60</f>
        <v>330</v>
      </c>
      <c r="O82" s="12">
        <v>0</v>
      </c>
      <c r="P82" s="12">
        <f>-6526.52+85708.32</f>
        <v>79181.8</v>
      </c>
      <c r="Q82" s="13" t="s">
        <v>41</v>
      </c>
      <c r="R82" s="12">
        <v>368839.91</v>
      </c>
      <c r="S82" s="12"/>
      <c r="T82" s="12">
        <f t="shared" si="9"/>
        <v>0</v>
      </c>
      <c r="U82" s="12">
        <f>220483.53+S82</f>
        <v>220483.53</v>
      </c>
      <c r="V82" s="26" t="s">
        <v>42</v>
      </c>
      <c r="W82" s="9">
        <f t="shared" si="10"/>
        <v>-148356.37999999998</v>
      </c>
      <c r="X82" s="9">
        <f>142511.89+5844.49</f>
        <v>148356.38</v>
      </c>
      <c r="Y82" s="9">
        <f t="shared" si="11"/>
        <v>0</v>
      </c>
      <c r="Z82" s="8" t="str">
        <f t="shared" si="12"/>
        <v>and</v>
      </c>
    </row>
    <row r="83" spans="1:26" ht="42.9">
      <c r="A83" s="25" t="s">
        <v>303</v>
      </c>
      <c r="B83" s="25" t="s">
        <v>304</v>
      </c>
      <c r="C83" s="25">
        <v>0</v>
      </c>
      <c r="D83" s="12">
        <v>0</v>
      </c>
      <c r="E83" s="12">
        <v>0</v>
      </c>
      <c r="F83" s="12">
        <v>0</v>
      </c>
      <c r="G83" s="25" t="s">
        <v>305</v>
      </c>
      <c r="H83" s="25" t="s">
        <v>306</v>
      </c>
      <c r="I83" s="13" t="s">
        <v>307</v>
      </c>
      <c r="J83" s="11">
        <v>44840</v>
      </c>
      <c r="K83" s="13">
        <v>150</v>
      </c>
      <c r="L83" s="12">
        <v>1597706.7</v>
      </c>
      <c r="M83" s="11">
        <f t="shared" si="8"/>
        <v>45079</v>
      </c>
      <c r="N83" s="13">
        <f>0+89</f>
        <v>89</v>
      </c>
      <c r="O83" s="12">
        <f>0+396630.8</f>
        <v>396630.8</v>
      </c>
      <c r="P83" s="12">
        <v>0</v>
      </c>
      <c r="Q83" s="13" t="s">
        <v>41</v>
      </c>
      <c r="R83" s="12">
        <f>487733.28+1035654.97</f>
        <v>1523388.25</v>
      </c>
      <c r="S83" s="12">
        <v>1035654.97</v>
      </c>
      <c r="T83" s="12">
        <f t="shared" si="9"/>
        <v>1035654.97</v>
      </c>
      <c r="U83" s="12">
        <f>487733.28+S83</f>
        <v>1523388.25</v>
      </c>
      <c r="V83" s="26" t="s">
        <v>42</v>
      </c>
      <c r="W83" s="9">
        <f t="shared" si="10"/>
        <v>0</v>
      </c>
      <c r="X83" s="9"/>
      <c r="Y83" s="9">
        <f t="shared" si="11"/>
        <v>0</v>
      </c>
      <c r="Z83" s="8" t="str">
        <f t="shared" si="12"/>
        <v>and</v>
      </c>
    </row>
    <row r="84" spans="1:26" ht="32.15">
      <c r="A84" s="25" t="s">
        <v>308</v>
      </c>
      <c r="B84" s="25" t="s">
        <v>309</v>
      </c>
      <c r="C84" s="25">
        <v>0</v>
      </c>
      <c r="D84" s="12">
        <v>0</v>
      </c>
      <c r="E84" s="12">
        <v>0</v>
      </c>
      <c r="F84" s="12">
        <v>0</v>
      </c>
      <c r="G84" s="25" t="s">
        <v>310</v>
      </c>
      <c r="H84" s="25" t="s">
        <v>311</v>
      </c>
      <c r="I84" s="13" t="s">
        <v>312</v>
      </c>
      <c r="J84" s="11">
        <v>44615</v>
      </c>
      <c r="K84" s="13">
        <v>645</v>
      </c>
      <c r="L84" s="12">
        <v>9469419.6300000008</v>
      </c>
      <c r="M84" s="11">
        <f t="shared" si="8"/>
        <v>45330</v>
      </c>
      <c r="N84" s="13">
        <f>0+70</f>
        <v>70</v>
      </c>
      <c r="O84" s="12">
        <v>1374964.25</v>
      </c>
      <c r="P84" s="12">
        <v>-473152.28</v>
      </c>
      <c r="Q84" s="13" t="s">
        <v>41</v>
      </c>
      <c r="R84" s="12">
        <f>4362420.88+1472458.96</f>
        <v>5834879.8399999999</v>
      </c>
      <c r="S84" s="12">
        <v>1526816.52</v>
      </c>
      <c r="T84" s="12">
        <f t="shared" si="9"/>
        <v>1526816.52</v>
      </c>
      <c r="U84" s="12">
        <f>3915844.19+S84</f>
        <v>5442660.71</v>
      </c>
      <c r="V84" s="26" t="s">
        <v>42</v>
      </c>
      <c r="W84" s="9">
        <f t="shared" si="10"/>
        <v>-392219.12999999989</v>
      </c>
      <c r="X84" s="9">
        <v>392219.13</v>
      </c>
      <c r="Y84" s="9">
        <f t="shared" si="11"/>
        <v>0</v>
      </c>
      <c r="Z84" s="8" t="str">
        <f t="shared" si="12"/>
        <v>and</v>
      </c>
    </row>
    <row r="85" spans="1:26" ht="32.15">
      <c r="A85" s="25" t="s">
        <v>313</v>
      </c>
      <c r="B85" s="25" t="s">
        <v>314</v>
      </c>
      <c r="C85" s="25">
        <v>0</v>
      </c>
      <c r="D85" s="12">
        <v>0</v>
      </c>
      <c r="E85" s="12">
        <v>0</v>
      </c>
      <c r="F85" s="12">
        <v>0</v>
      </c>
      <c r="G85" s="25" t="s">
        <v>315</v>
      </c>
      <c r="H85" s="25" t="s">
        <v>316</v>
      </c>
      <c r="I85" s="13" t="s">
        <v>317</v>
      </c>
      <c r="J85" s="11">
        <v>44559</v>
      </c>
      <c r="K85" s="13">
        <v>760</v>
      </c>
      <c r="L85" s="12">
        <v>2227129.66</v>
      </c>
      <c r="M85" s="11">
        <f t="shared" si="8"/>
        <v>45319</v>
      </c>
      <c r="N85" s="13">
        <v>0</v>
      </c>
      <c r="O85" s="12">
        <v>237561.68</v>
      </c>
      <c r="P85" s="12">
        <v>0</v>
      </c>
      <c r="Q85" s="13" t="s">
        <v>41</v>
      </c>
      <c r="R85" s="12">
        <f>1210132.54+427658.29</f>
        <v>1637790.83</v>
      </c>
      <c r="S85" s="12">
        <v>427658.29</v>
      </c>
      <c r="T85" s="12">
        <f t="shared" si="9"/>
        <v>427658.29</v>
      </c>
      <c r="U85" s="12">
        <f>1210132.54+S85</f>
        <v>1637790.83</v>
      </c>
      <c r="V85" s="26" t="s">
        <v>42</v>
      </c>
      <c r="W85" s="9">
        <f t="shared" si="10"/>
        <v>0</v>
      </c>
      <c r="X85" s="9"/>
      <c r="Y85" s="9">
        <f t="shared" si="11"/>
        <v>0</v>
      </c>
      <c r="Z85" s="8" t="str">
        <f t="shared" si="12"/>
        <v>and</v>
      </c>
    </row>
    <row r="86" spans="1:26" ht="32.15">
      <c r="A86" s="25" t="s">
        <v>318</v>
      </c>
      <c r="B86" s="25" t="s">
        <v>319</v>
      </c>
      <c r="C86" s="25">
        <v>0</v>
      </c>
      <c r="D86" s="12">
        <v>0</v>
      </c>
      <c r="E86" s="12">
        <v>0</v>
      </c>
      <c r="F86" s="12">
        <v>0</v>
      </c>
      <c r="G86" s="25" t="s">
        <v>320</v>
      </c>
      <c r="H86" s="25" t="s">
        <v>321</v>
      </c>
      <c r="I86" s="13" t="s">
        <v>322</v>
      </c>
      <c r="J86" s="11">
        <v>44649</v>
      </c>
      <c r="K86" s="13">
        <v>1825</v>
      </c>
      <c r="L86" s="12">
        <v>330511059.97000003</v>
      </c>
      <c r="M86" s="11">
        <f t="shared" si="8"/>
        <v>46474</v>
      </c>
      <c r="N86" s="13">
        <v>0</v>
      </c>
      <c r="O86" s="12">
        <v>0</v>
      </c>
      <c r="P86" s="12">
        <f>0+23536035.85</f>
        <v>23536035.850000001</v>
      </c>
      <c r="Q86" s="13" t="s">
        <v>47</v>
      </c>
      <c r="R86" s="12">
        <f>14293354.44+10655903.1</f>
        <v>24949257.539999999</v>
      </c>
      <c r="S86" s="12">
        <v>15612100.17</v>
      </c>
      <c r="T86" s="12">
        <f t="shared" si="9"/>
        <v>15612100.17</v>
      </c>
      <c r="U86" s="12">
        <f>9337157.37+S86</f>
        <v>24949257.539999999</v>
      </c>
      <c r="V86" s="26" t="s">
        <v>42</v>
      </c>
      <c r="W86" s="9">
        <f t="shared" si="10"/>
        <v>0</v>
      </c>
      <c r="X86" s="9"/>
      <c r="Y86" s="9">
        <f t="shared" si="11"/>
        <v>0</v>
      </c>
      <c r="Z86" s="8" t="str">
        <f t="shared" si="12"/>
        <v>and</v>
      </c>
    </row>
    <row r="87" spans="1:26" ht="32.15">
      <c r="A87" s="25" t="s">
        <v>318</v>
      </c>
      <c r="B87" s="25" t="s">
        <v>323</v>
      </c>
      <c r="C87" s="25">
        <v>0</v>
      </c>
      <c r="D87" s="12">
        <v>0</v>
      </c>
      <c r="E87" s="12">
        <v>0</v>
      </c>
      <c r="F87" s="12">
        <v>0</v>
      </c>
      <c r="G87" s="25" t="s">
        <v>320</v>
      </c>
      <c r="H87" s="25" t="s">
        <v>321</v>
      </c>
      <c r="I87" s="13" t="s">
        <v>324</v>
      </c>
      <c r="J87" s="11">
        <v>44649</v>
      </c>
      <c r="K87" s="13">
        <v>1825</v>
      </c>
      <c r="L87" s="12">
        <v>775440867.03999996</v>
      </c>
      <c r="M87" s="11">
        <f t="shared" si="8"/>
        <v>46474</v>
      </c>
      <c r="N87" s="13">
        <v>0</v>
      </c>
      <c r="O87" s="12">
        <v>0</v>
      </c>
      <c r="P87" s="12">
        <f>0+54841925.43</f>
        <v>54841925.43</v>
      </c>
      <c r="Q87" s="13" t="s">
        <v>47</v>
      </c>
      <c r="R87" s="12">
        <f>24811785.39+39411647.99</f>
        <v>64223433.380000003</v>
      </c>
      <c r="S87" s="12">
        <v>38986049</v>
      </c>
      <c r="T87" s="12">
        <f t="shared" si="9"/>
        <v>38986049</v>
      </c>
      <c r="U87" s="12">
        <f>24811785.39+S87</f>
        <v>63797834.390000001</v>
      </c>
      <c r="V87" s="26" t="s">
        <v>42</v>
      </c>
      <c r="W87" s="9">
        <f t="shared" si="10"/>
        <v>-425598.99000000209</v>
      </c>
      <c r="X87" s="9">
        <v>425598.99</v>
      </c>
      <c r="Y87" s="9">
        <f t="shared" si="11"/>
        <v>-2.0954757928848267E-9</v>
      </c>
      <c r="Z87" s="8" t="str">
        <f t="shared" si="12"/>
        <v>and</v>
      </c>
    </row>
    <row r="88" spans="1:26" ht="32.15">
      <c r="A88" s="25" t="s">
        <v>325</v>
      </c>
      <c r="B88" s="25" t="s">
        <v>326</v>
      </c>
      <c r="C88" s="25">
        <v>0</v>
      </c>
      <c r="D88" s="12">
        <v>0</v>
      </c>
      <c r="E88" s="12">
        <v>0</v>
      </c>
      <c r="F88" s="12">
        <v>0</v>
      </c>
      <c r="G88" s="25" t="s">
        <v>327</v>
      </c>
      <c r="H88" s="25" t="s">
        <v>328</v>
      </c>
      <c r="I88" s="13" t="s">
        <v>329</v>
      </c>
      <c r="J88" s="11">
        <v>44855</v>
      </c>
      <c r="K88" s="13">
        <v>820</v>
      </c>
      <c r="L88" s="12">
        <v>4513103.68</v>
      </c>
      <c r="M88" s="11">
        <f t="shared" si="8"/>
        <v>45675</v>
      </c>
      <c r="N88" s="13">
        <v>0</v>
      </c>
      <c r="O88" s="12">
        <v>0</v>
      </c>
      <c r="P88" s="12">
        <v>0</v>
      </c>
      <c r="Q88" s="13" t="s">
        <v>47</v>
      </c>
      <c r="R88" s="12">
        <f>127881.67+533125.14</f>
        <v>661006.81000000006</v>
      </c>
      <c r="S88" s="12">
        <v>345638.19</v>
      </c>
      <c r="T88" s="12">
        <f t="shared" si="9"/>
        <v>345638.19</v>
      </c>
      <c r="U88" s="12">
        <f>127881.67+S88</f>
        <v>473519.86</v>
      </c>
      <c r="V88" s="26" t="s">
        <v>42</v>
      </c>
      <c r="W88" s="9">
        <f t="shared" si="10"/>
        <v>-187486.95000000007</v>
      </c>
      <c r="X88" s="9">
        <v>187486.95</v>
      </c>
      <c r="Y88" s="9">
        <f t="shared" si="11"/>
        <v>0</v>
      </c>
      <c r="Z88" s="8" t="str">
        <f t="shared" si="12"/>
        <v>and</v>
      </c>
    </row>
    <row r="89" spans="1:26" ht="42.9">
      <c r="A89" s="25" t="s">
        <v>330</v>
      </c>
      <c r="B89" s="25" t="s">
        <v>331</v>
      </c>
      <c r="C89" s="25" t="s">
        <v>332</v>
      </c>
      <c r="D89" s="12" t="s">
        <v>333</v>
      </c>
      <c r="E89" s="12">
        <v>45000000</v>
      </c>
      <c r="F89" s="12">
        <v>5000000</v>
      </c>
      <c r="G89" s="25" t="s">
        <v>154</v>
      </c>
      <c r="H89" s="25" t="s">
        <v>155</v>
      </c>
      <c r="I89" s="13" t="s">
        <v>334</v>
      </c>
      <c r="J89" s="11">
        <v>44861</v>
      </c>
      <c r="K89" s="13">
        <v>760</v>
      </c>
      <c r="L89" s="12">
        <v>35222846.310000002</v>
      </c>
      <c r="M89" s="11">
        <f t="shared" si="8"/>
        <v>45621</v>
      </c>
      <c r="N89" s="13">
        <v>0</v>
      </c>
      <c r="O89" s="12">
        <f>0+2847136.5</f>
        <v>2847136.5</v>
      </c>
      <c r="P89" s="12">
        <v>0</v>
      </c>
      <c r="Q89" s="13" t="s">
        <v>41</v>
      </c>
      <c r="R89" s="12">
        <f>5223510.63+7205326.53</f>
        <v>12428837.16</v>
      </c>
      <c r="S89" s="12">
        <v>3272525.34</v>
      </c>
      <c r="T89" s="12">
        <f t="shared" si="9"/>
        <v>3272525.34</v>
      </c>
      <c r="U89" s="12">
        <f>3985908.79+S89</f>
        <v>7258434.1299999999</v>
      </c>
      <c r="V89" s="26" t="s">
        <v>42</v>
      </c>
      <c r="W89" s="9">
        <f t="shared" si="10"/>
        <v>-5170403.03</v>
      </c>
      <c r="X89" s="9">
        <v>3343691.0000000005</v>
      </c>
      <c r="Y89" s="9">
        <f t="shared" si="11"/>
        <v>-1826712.0299999998</v>
      </c>
      <c r="Z89" s="8" t="str">
        <f t="shared" si="12"/>
        <v>and</v>
      </c>
    </row>
    <row r="90" spans="1:26" ht="42.9">
      <c r="A90" s="25" t="s">
        <v>330</v>
      </c>
      <c r="B90" s="25" t="s">
        <v>335</v>
      </c>
      <c r="C90" s="25" t="s">
        <v>332</v>
      </c>
      <c r="D90" s="12" t="s">
        <v>333</v>
      </c>
      <c r="E90" s="12">
        <v>45000000</v>
      </c>
      <c r="F90" s="12">
        <v>5000000</v>
      </c>
      <c r="G90" s="25" t="s">
        <v>173</v>
      </c>
      <c r="H90" s="25" t="s">
        <v>336</v>
      </c>
      <c r="I90" s="13" t="s">
        <v>337</v>
      </c>
      <c r="J90" s="11">
        <v>44861</v>
      </c>
      <c r="K90" s="13">
        <v>760</v>
      </c>
      <c r="L90" s="12">
        <v>37890417.210000001</v>
      </c>
      <c r="M90" s="11">
        <f t="shared" si="8"/>
        <v>45621</v>
      </c>
      <c r="N90" s="13">
        <v>0</v>
      </c>
      <c r="O90" s="12">
        <v>0</v>
      </c>
      <c r="P90" s="12">
        <v>0</v>
      </c>
      <c r="Q90" s="13" t="s">
        <v>41</v>
      </c>
      <c r="R90" s="12">
        <f>4123174.56+10756372.45</f>
        <v>14879547.01</v>
      </c>
      <c r="S90" s="12">
        <v>7844197.1299999999</v>
      </c>
      <c r="T90" s="12">
        <f t="shared" si="9"/>
        <v>7844197.1299999999</v>
      </c>
      <c r="U90" s="12">
        <f>2752774+S90</f>
        <v>10596971.129999999</v>
      </c>
      <c r="V90" s="26" t="s">
        <v>42</v>
      </c>
      <c r="W90" s="9">
        <f t="shared" si="10"/>
        <v>-4282575.8800000008</v>
      </c>
      <c r="X90" s="9">
        <v>1652482.7</v>
      </c>
      <c r="Y90" s="9">
        <f t="shared" si="11"/>
        <v>-2630093.1800000006</v>
      </c>
      <c r="Z90" s="8" t="str">
        <f t="shared" si="12"/>
        <v>and</v>
      </c>
    </row>
    <row r="91" spans="1:26" ht="42.9">
      <c r="A91" s="25" t="s">
        <v>330</v>
      </c>
      <c r="B91" s="25" t="s">
        <v>338</v>
      </c>
      <c r="C91" s="25" t="s">
        <v>332</v>
      </c>
      <c r="D91" s="12" t="s">
        <v>333</v>
      </c>
      <c r="E91" s="12">
        <v>45000000</v>
      </c>
      <c r="F91" s="12">
        <v>5000000</v>
      </c>
      <c r="G91" s="25" t="s">
        <v>152</v>
      </c>
      <c r="H91" s="25" t="s">
        <v>153</v>
      </c>
      <c r="I91" s="13" t="s">
        <v>339</v>
      </c>
      <c r="J91" s="11">
        <v>44861</v>
      </c>
      <c r="K91" s="13">
        <v>760</v>
      </c>
      <c r="L91" s="12">
        <v>52662087.729999997</v>
      </c>
      <c r="M91" s="11">
        <f t="shared" si="8"/>
        <v>45621</v>
      </c>
      <c r="N91" s="13">
        <v>0</v>
      </c>
      <c r="O91" s="12">
        <v>0</v>
      </c>
      <c r="P91" s="12">
        <v>0</v>
      </c>
      <c r="Q91" s="13" t="s">
        <v>41</v>
      </c>
      <c r="R91" s="12">
        <f>9361082.14+8662430.62</f>
        <v>18023512.759999998</v>
      </c>
      <c r="S91" s="12">
        <v>8974219.2899999991</v>
      </c>
      <c r="T91" s="12">
        <f t="shared" si="9"/>
        <v>8974219.2899999991</v>
      </c>
      <c r="U91" s="12">
        <f>5326176.38+S91</f>
        <v>14300395.669999998</v>
      </c>
      <c r="V91" s="26" t="s">
        <v>42</v>
      </c>
      <c r="W91" s="9">
        <f t="shared" si="10"/>
        <v>-3723117.09</v>
      </c>
      <c r="X91" s="9">
        <v>2011530.5999999999</v>
      </c>
      <c r="Y91" s="9">
        <f t="shared" si="11"/>
        <v>-1711586.49</v>
      </c>
      <c r="Z91" s="8" t="str">
        <f t="shared" si="12"/>
        <v>and</v>
      </c>
    </row>
    <row r="92" spans="1:26" ht="42.9">
      <c r="A92" s="25" t="s">
        <v>330</v>
      </c>
      <c r="B92" s="25" t="s">
        <v>340</v>
      </c>
      <c r="C92" s="25" t="s">
        <v>332</v>
      </c>
      <c r="D92" s="12" t="s">
        <v>333</v>
      </c>
      <c r="E92" s="12">
        <v>45000000</v>
      </c>
      <c r="F92" s="12">
        <v>5000000</v>
      </c>
      <c r="G92" s="25" t="s">
        <v>154</v>
      </c>
      <c r="H92" s="25" t="s">
        <v>155</v>
      </c>
      <c r="I92" s="13" t="s">
        <v>341</v>
      </c>
      <c r="J92" s="11">
        <v>44861</v>
      </c>
      <c r="K92" s="13">
        <v>760</v>
      </c>
      <c r="L92" s="12">
        <v>51009419.109999999</v>
      </c>
      <c r="M92" s="11">
        <f t="shared" si="8"/>
        <v>45621</v>
      </c>
      <c r="N92" s="13">
        <v>0</v>
      </c>
      <c r="O92" s="12">
        <v>0</v>
      </c>
      <c r="P92" s="12">
        <v>0</v>
      </c>
      <c r="Q92" s="13" t="s">
        <v>41</v>
      </c>
      <c r="R92" s="12">
        <f>4076602.68+5156276.58</f>
        <v>9232879.2599999998</v>
      </c>
      <c r="S92" s="12">
        <v>2691550.39</v>
      </c>
      <c r="T92" s="12">
        <f t="shared" si="9"/>
        <v>2691550.39</v>
      </c>
      <c r="U92" s="12">
        <f>2606150.07+S92</f>
        <v>5297700.46</v>
      </c>
      <c r="V92" s="26" t="s">
        <v>42</v>
      </c>
      <c r="W92" s="9">
        <f t="shared" si="10"/>
        <v>-3935178.8</v>
      </c>
      <c r="X92" s="9">
        <f>3292993.51+125325.42</f>
        <v>3418318.9299999997</v>
      </c>
      <c r="Y92" s="9">
        <f t="shared" si="11"/>
        <v>-516859.87000000011</v>
      </c>
      <c r="Z92" s="8" t="str">
        <f t="shared" si="12"/>
        <v>and</v>
      </c>
    </row>
    <row r="93" spans="1:26" ht="21.45">
      <c r="A93" s="25" t="s">
        <v>342</v>
      </c>
      <c r="B93" s="25" t="s">
        <v>343</v>
      </c>
      <c r="C93" s="25">
        <v>0</v>
      </c>
      <c r="D93" s="12">
        <v>0</v>
      </c>
      <c r="E93" s="12">
        <v>0</v>
      </c>
      <c r="F93" s="12">
        <v>0</v>
      </c>
      <c r="G93" s="25" t="s">
        <v>143</v>
      </c>
      <c r="H93" s="25" t="s">
        <v>144</v>
      </c>
      <c r="I93" s="13" t="s">
        <v>344</v>
      </c>
      <c r="J93" s="11">
        <v>44869</v>
      </c>
      <c r="K93" s="13">
        <v>790</v>
      </c>
      <c r="L93" s="12">
        <v>3957846.15</v>
      </c>
      <c r="M93" s="11">
        <f t="shared" ref="M93:M100" si="13">J93+K93+N93</f>
        <v>45659</v>
      </c>
      <c r="N93" s="13">
        <v>0</v>
      </c>
      <c r="O93" s="12">
        <v>0</v>
      </c>
      <c r="P93" s="12">
        <v>0</v>
      </c>
      <c r="Q93" s="13" t="s">
        <v>47</v>
      </c>
      <c r="R93" s="12">
        <f>297603.78+258428.09</f>
        <v>556031.87</v>
      </c>
      <c r="S93" s="12">
        <v>297603.78000000003</v>
      </c>
      <c r="T93" s="12">
        <f t="shared" si="9"/>
        <v>297603.78000000003</v>
      </c>
      <c r="U93" s="12">
        <f>S93</f>
        <v>297603.78000000003</v>
      </c>
      <c r="V93" s="26" t="s">
        <v>42</v>
      </c>
      <c r="W93" s="9">
        <f t="shared" si="10"/>
        <v>-258428.08999999997</v>
      </c>
      <c r="X93" s="9">
        <v>258428.09</v>
      </c>
      <c r="Y93" s="9">
        <f t="shared" si="11"/>
        <v>0</v>
      </c>
      <c r="Z93" s="8" t="str">
        <f t="shared" si="12"/>
        <v>and</v>
      </c>
    </row>
    <row r="94" spans="1:26" ht="21.45">
      <c r="A94" s="25" t="s">
        <v>345</v>
      </c>
      <c r="B94" s="25" t="s">
        <v>346</v>
      </c>
      <c r="C94" s="25">
        <v>0</v>
      </c>
      <c r="D94" s="12">
        <v>0</v>
      </c>
      <c r="E94" s="12">
        <v>0</v>
      </c>
      <c r="F94" s="12">
        <v>0</v>
      </c>
      <c r="G94" s="25" t="s">
        <v>180</v>
      </c>
      <c r="H94" s="25" t="s">
        <v>181</v>
      </c>
      <c r="I94" s="13" t="s">
        <v>347</v>
      </c>
      <c r="J94" s="11">
        <v>44896</v>
      </c>
      <c r="K94" s="13">
        <v>790</v>
      </c>
      <c r="L94" s="12">
        <v>1292921.04</v>
      </c>
      <c r="M94" s="11">
        <f t="shared" si="13"/>
        <v>45686</v>
      </c>
      <c r="N94" s="13">
        <v>0</v>
      </c>
      <c r="O94" s="12">
        <v>0</v>
      </c>
      <c r="P94" s="12">
        <v>0</v>
      </c>
      <c r="Q94" s="13" t="s">
        <v>47</v>
      </c>
      <c r="R94" s="12">
        <f>102903.06+110412.21</f>
        <v>213315.27000000002</v>
      </c>
      <c r="S94" s="12">
        <v>110412.21</v>
      </c>
      <c r="T94" s="12">
        <f t="shared" si="9"/>
        <v>110412.21</v>
      </c>
      <c r="U94" s="12">
        <f>102903.06+S94</f>
        <v>213315.27000000002</v>
      </c>
      <c r="V94" s="26" t="s">
        <v>42</v>
      </c>
      <c r="W94" s="9">
        <f t="shared" si="10"/>
        <v>0</v>
      </c>
      <c r="X94" s="9"/>
      <c r="Y94" s="9">
        <f t="shared" si="11"/>
        <v>0</v>
      </c>
      <c r="Z94" s="8" t="str">
        <f t="shared" si="12"/>
        <v>and</v>
      </c>
    </row>
    <row r="95" spans="1:26" ht="32.15">
      <c r="A95" s="25" t="s">
        <v>348</v>
      </c>
      <c r="B95" s="25" t="s">
        <v>349</v>
      </c>
      <c r="C95" s="25" t="s">
        <v>438</v>
      </c>
      <c r="D95" s="12" t="s">
        <v>439</v>
      </c>
      <c r="E95" s="12">
        <v>0</v>
      </c>
      <c r="F95" s="12">
        <v>0</v>
      </c>
      <c r="G95" s="25" t="s">
        <v>350</v>
      </c>
      <c r="H95" s="25" t="s">
        <v>351</v>
      </c>
      <c r="I95" s="13" t="s">
        <v>352</v>
      </c>
      <c r="J95" s="11">
        <v>44910</v>
      </c>
      <c r="K95" s="13">
        <v>645</v>
      </c>
      <c r="L95" s="12">
        <v>10636776.85</v>
      </c>
      <c r="M95" s="11">
        <f t="shared" si="13"/>
        <v>45555</v>
      </c>
      <c r="N95" s="13">
        <v>0</v>
      </c>
      <c r="O95" s="12">
        <v>0</v>
      </c>
      <c r="P95" s="12">
        <v>0</v>
      </c>
      <c r="Q95" s="13" t="s">
        <v>41</v>
      </c>
      <c r="R95" s="12">
        <f>99784.53+168540.2</f>
        <v>268324.73</v>
      </c>
      <c r="S95" s="12">
        <v>99784.53</v>
      </c>
      <c r="T95" s="12">
        <f t="shared" si="9"/>
        <v>99784.53</v>
      </c>
      <c r="U95" s="12">
        <f t="shared" ref="U95:U104" si="14">S95</f>
        <v>99784.53</v>
      </c>
      <c r="V95" s="26" t="s">
        <v>42</v>
      </c>
      <c r="W95" s="9">
        <f t="shared" si="10"/>
        <v>-168540.19999999998</v>
      </c>
      <c r="X95" s="9">
        <v>168540.2</v>
      </c>
      <c r="Y95" s="9">
        <f t="shared" si="11"/>
        <v>0</v>
      </c>
      <c r="Z95" s="8" t="str">
        <f t="shared" si="12"/>
        <v>and</v>
      </c>
    </row>
    <row r="96" spans="1:26" ht="53.6">
      <c r="A96" s="25" t="s">
        <v>353</v>
      </c>
      <c r="B96" s="25" t="s">
        <v>354</v>
      </c>
      <c r="C96" s="25">
        <v>0</v>
      </c>
      <c r="D96" s="12">
        <v>0</v>
      </c>
      <c r="E96" s="12">
        <v>0</v>
      </c>
      <c r="F96" s="12">
        <v>0</v>
      </c>
      <c r="G96" s="25" t="s">
        <v>38</v>
      </c>
      <c r="H96" s="25" t="s">
        <v>39</v>
      </c>
      <c r="I96" s="13" t="s">
        <v>355</v>
      </c>
      <c r="J96" s="11">
        <v>44916</v>
      </c>
      <c r="K96" s="13">
        <v>790</v>
      </c>
      <c r="L96" s="12">
        <v>12692831.300000001</v>
      </c>
      <c r="M96" s="11">
        <f t="shared" si="13"/>
        <v>45706</v>
      </c>
      <c r="N96" s="13">
        <v>0</v>
      </c>
      <c r="O96" s="12">
        <v>0</v>
      </c>
      <c r="P96" s="12">
        <v>0</v>
      </c>
      <c r="Q96" s="13" t="s">
        <v>41</v>
      </c>
      <c r="R96" s="12">
        <f>0+102779.05</f>
        <v>102779.05</v>
      </c>
      <c r="S96" s="12">
        <v>0</v>
      </c>
      <c r="T96" s="12">
        <f t="shared" si="9"/>
        <v>0</v>
      </c>
      <c r="U96" s="12">
        <f t="shared" si="14"/>
        <v>0</v>
      </c>
      <c r="V96" s="26" t="s">
        <v>42</v>
      </c>
      <c r="W96" s="9">
        <f t="shared" si="10"/>
        <v>-102779.05</v>
      </c>
      <c r="X96" s="9">
        <v>102779.05</v>
      </c>
      <c r="Y96" s="9">
        <f t="shared" si="11"/>
        <v>0</v>
      </c>
      <c r="Z96" s="8" t="str">
        <f t="shared" si="12"/>
        <v>and</v>
      </c>
    </row>
    <row r="97" spans="1:116" ht="21.45">
      <c r="A97" s="25" t="s">
        <v>356</v>
      </c>
      <c r="B97" s="25" t="s">
        <v>357</v>
      </c>
      <c r="C97" s="25">
        <v>0</v>
      </c>
      <c r="D97" s="12">
        <v>0</v>
      </c>
      <c r="E97" s="12">
        <v>0</v>
      </c>
      <c r="F97" s="12">
        <v>0</v>
      </c>
      <c r="G97" s="25" t="s">
        <v>61</v>
      </c>
      <c r="H97" s="25" t="s">
        <v>62</v>
      </c>
      <c r="I97" s="13" t="s">
        <v>358</v>
      </c>
      <c r="J97" s="11">
        <v>44916</v>
      </c>
      <c r="K97" s="13">
        <v>790</v>
      </c>
      <c r="L97" s="12">
        <v>1116122.19</v>
      </c>
      <c r="M97" s="11">
        <f t="shared" si="13"/>
        <v>45706</v>
      </c>
      <c r="N97" s="13">
        <v>0</v>
      </c>
      <c r="O97" s="12">
        <v>0</v>
      </c>
      <c r="P97" s="12">
        <v>0</v>
      </c>
      <c r="Q97" s="13" t="s">
        <v>47</v>
      </c>
      <c r="R97" s="12">
        <f>0+157449.28</f>
        <v>157449.28</v>
      </c>
      <c r="S97" s="12">
        <v>101974.35</v>
      </c>
      <c r="T97" s="12">
        <f t="shared" si="9"/>
        <v>101974.35</v>
      </c>
      <c r="U97" s="12">
        <f t="shared" si="14"/>
        <v>101974.35</v>
      </c>
      <c r="V97" s="26" t="s">
        <v>42</v>
      </c>
      <c r="W97" s="9">
        <f t="shared" si="10"/>
        <v>-55474.929999999993</v>
      </c>
      <c r="X97" s="9">
        <v>55474.93</v>
      </c>
      <c r="Y97" s="9">
        <f t="shared" si="11"/>
        <v>0</v>
      </c>
      <c r="Z97" s="8" t="str">
        <f t="shared" si="12"/>
        <v>and</v>
      </c>
    </row>
    <row r="98" spans="1:116" ht="53.6">
      <c r="A98" s="25" t="s">
        <v>359</v>
      </c>
      <c r="B98" s="25" t="s">
        <v>360</v>
      </c>
      <c r="C98" s="25">
        <v>0</v>
      </c>
      <c r="D98" s="12">
        <v>0</v>
      </c>
      <c r="E98" s="12">
        <v>0</v>
      </c>
      <c r="F98" s="12">
        <v>0</v>
      </c>
      <c r="G98" s="25" t="s">
        <v>180</v>
      </c>
      <c r="H98" s="25" t="s">
        <v>181</v>
      </c>
      <c r="I98" s="13" t="s">
        <v>361</v>
      </c>
      <c r="J98" s="11">
        <v>44923</v>
      </c>
      <c r="K98" s="13">
        <v>60</v>
      </c>
      <c r="L98" s="12">
        <v>339990</v>
      </c>
      <c r="M98" s="11">
        <f t="shared" si="13"/>
        <v>44983</v>
      </c>
      <c r="N98" s="13">
        <v>0</v>
      </c>
      <c r="O98" s="12">
        <v>0</v>
      </c>
      <c r="P98" s="12">
        <v>0</v>
      </c>
      <c r="Q98" s="13" t="s">
        <v>47</v>
      </c>
      <c r="R98" s="12">
        <f>0+339989.71</f>
        <v>339989.71</v>
      </c>
      <c r="S98" s="12">
        <v>339989.71</v>
      </c>
      <c r="T98" s="12">
        <f t="shared" si="9"/>
        <v>339989.71</v>
      </c>
      <c r="U98" s="12">
        <f t="shared" si="14"/>
        <v>339989.71</v>
      </c>
      <c r="V98" s="26" t="s">
        <v>366</v>
      </c>
      <c r="W98" s="9">
        <f t="shared" si="10"/>
        <v>0</v>
      </c>
      <c r="X98" s="9"/>
      <c r="Y98" s="9">
        <f t="shared" si="11"/>
        <v>0</v>
      </c>
      <c r="Z98" s="8" t="str">
        <f t="shared" si="12"/>
        <v>enc</v>
      </c>
    </row>
    <row r="99" spans="1:116" s="25" customFormat="1" ht="53.6">
      <c r="A99" s="25" t="s">
        <v>359</v>
      </c>
      <c r="B99" s="25" t="s">
        <v>362</v>
      </c>
      <c r="C99" s="25">
        <v>0</v>
      </c>
      <c r="D99" s="12">
        <v>0</v>
      </c>
      <c r="E99" s="12">
        <v>0</v>
      </c>
      <c r="F99" s="12">
        <v>0</v>
      </c>
      <c r="G99" s="25" t="s">
        <v>305</v>
      </c>
      <c r="H99" s="25" t="s">
        <v>306</v>
      </c>
      <c r="I99" s="13" t="s">
        <v>363</v>
      </c>
      <c r="J99" s="11">
        <v>44923</v>
      </c>
      <c r="K99" s="13">
        <v>60</v>
      </c>
      <c r="L99" s="12">
        <v>338899.99</v>
      </c>
      <c r="M99" s="11">
        <f t="shared" si="13"/>
        <v>44983</v>
      </c>
      <c r="N99" s="13">
        <v>0</v>
      </c>
      <c r="O99" s="12">
        <v>0</v>
      </c>
      <c r="P99" s="12">
        <v>0</v>
      </c>
      <c r="Q99" s="13" t="s">
        <v>47</v>
      </c>
      <c r="R99" s="12">
        <f>0+338899.76</f>
        <v>338899.76</v>
      </c>
      <c r="S99" s="12">
        <v>338899.76</v>
      </c>
      <c r="T99" s="12">
        <f t="shared" si="9"/>
        <v>338899.76</v>
      </c>
      <c r="U99" s="12">
        <f t="shared" si="14"/>
        <v>338899.76</v>
      </c>
      <c r="V99" s="26" t="s">
        <v>366</v>
      </c>
      <c r="W99" s="9">
        <f t="shared" si="10"/>
        <v>0</v>
      </c>
      <c r="X99" s="9"/>
      <c r="Y99" s="9">
        <f t="shared" si="11"/>
        <v>0</v>
      </c>
      <c r="Z99" s="8" t="str">
        <f t="shared" si="12"/>
        <v>enc</v>
      </c>
      <c r="AA99" s="10"/>
      <c r="AB99" s="10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10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8"/>
    </row>
    <row r="100" spans="1:116" ht="53.6">
      <c r="A100" s="25" t="s">
        <v>359</v>
      </c>
      <c r="B100" s="25" t="s">
        <v>364</v>
      </c>
      <c r="C100" s="25">
        <v>0</v>
      </c>
      <c r="D100" s="12">
        <v>0</v>
      </c>
      <c r="E100" s="12">
        <v>0</v>
      </c>
      <c r="F100" s="12">
        <v>0</v>
      </c>
      <c r="G100" s="25" t="s">
        <v>61</v>
      </c>
      <c r="H100" s="25" t="s">
        <v>62</v>
      </c>
      <c r="I100" s="13" t="s">
        <v>365</v>
      </c>
      <c r="J100" s="11">
        <v>44923</v>
      </c>
      <c r="K100" s="13">
        <v>60</v>
      </c>
      <c r="L100" s="12">
        <v>435926.72</v>
      </c>
      <c r="M100" s="11">
        <f t="shared" si="13"/>
        <v>44983</v>
      </c>
      <c r="N100" s="13">
        <v>0</v>
      </c>
      <c r="O100" s="12">
        <v>0</v>
      </c>
      <c r="P100" s="12">
        <v>0</v>
      </c>
      <c r="Q100" s="13" t="s">
        <v>47</v>
      </c>
      <c r="R100" s="12">
        <f>0+435714.04</f>
        <v>435714.04</v>
      </c>
      <c r="S100" s="12">
        <v>435714.04</v>
      </c>
      <c r="T100" s="12">
        <f t="shared" si="9"/>
        <v>435714.04</v>
      </c>
      <c r="U100" s="12">
        <f t="shared" si="14"/>
        <v>435714.04</v>
      </c>
      <c r="V100" s="26" t="s">
        <v>366</v>
      </c>
      <c r="W100" s="9">
        <f t="shared" si="10"/>
        <v>0</v>
      </c>
      <c r="X100" s="9"/>
      <c r="Y100" s="9">
        <f t="shared" si="11"/>
        <v>0</v>
      </c>
      <c r="Z100" s="8" t="str">
        <f t="shared" si="12"/>
        <v>enc</v>
      </c>
    </row>
    <row r="101" spans="1:116" ht="42.9">
      <c r="A101" s="29" t="s">
        <v>368</v>
      </c>
      <c r="B101" s="29" t="s">
        <v>369</v>
      </c>
      <c r="C101" s="25">
        <v>0</v>
      </c>
      <c r="D101" s="12">
        <v>0</v>
      </c>
      <c r="E101" s="12">
        <v>0</v>
      </c>
      <c r="F101" s="12">
        <v>0</v>
      </c>
      <c r="G101" s="29" t="s">
        <v>173</v>
      </c>
      <c r="H101" s="25" t="s">
        <v>336</v>
      </c>
      <c r="I101" s="13" t="s">
        <v>367</v>
      </c>
      <c r="J101" s="11">
        <v>44928</v>
      </c>
      <c r="K101" s="13">
        <v>1125</v>
      </c>
      <c r="L101" s="30">
        <v>14926062.529999999</v>
      </c>
      <c r="M101" s="11">
        <f t="shared" ref="M101:M108" si="15">J101+K101+N101</f>
        <v>46053</v>
      </c>
      <c r="N101" s="13">
        <v>0</v>
      </c>
      <c r="O101" s="12">
        <v>0</v>
      </c>
      <c r="P101" s="12">
        <v>0</v>
      </c>
      <c r="Q101" s="13" t="s">
        <v>47</v>
      </c>
      <c r="R101" s="12">
        <f>0+286988.01</f>
        <v>286988.01</v>
      </c>
      <c r="S101" s="12">
        <v>135659.35</v>
      </c>
      <c r="T101" s="12">
        <f t="shared" si="9"/>
        <v>135659.35</v>
      </c>
      <c r="U101" s="12">
        <f t="shared" si="14"/>
        <v>135659.35</v>
      </c>
      <c r="V101" s="26" t="s">
        <v>42</v>
      </c>
      <c r="W101" s="9">
        <f t="shared" si="10"/>
        <v>-151328.66</v>
      </c>
      <c r="X101" s="9">
        <f>33298.87+118029.79</f>
        <v>151328.66</v>
      </c>
      <c r="Y101" s="9">
        <f t="shared" si="11"/>
        <v>0</v>
      </c>
      <c r="Z101" s="8" t="str">
        <f t="shared" si="12"/>
        <v>and</v>
      </c>
    </row>
    <row r="102" spans="1:116" ht="42.9">
      <c r="A102" s="29" t="s">
        <v>368</v>
      </c>
      <c r="B102" s="29" t="s">
        <v>375</v>
      </c>
      <c r="C102" s="25">
        <v>0</v>
      </c>
      <c r="D102" s="12">
        <v>0</v>
      </c>
      <c r="E102" s="12">
        <v>0</v>
      </c>
      <c r="F102" s="12">
        <v>0</v>
      </c>
      <c r="G102" s="29" t="s">
        <v>173</v>
      </c>
      <c r="H102" s="25" t="s">
        <v>336</v>
      </c>
      <c r="I102" s="13" t="s">
        <v>370</v>
      </c>
      <c r="J102" s="11">
        <v>44952</v>
      </c>
      <c r="K102" s="13">
        <v>1125</v>
      </c>
      <c r="L102" s="30">
        <v>18344816.460000001</v>
      </c>
      <c r="M102" s="11">
        <f t="shared" ref="M102:M104" si="16">J102+K102+N102</f>
        <v>46077</v>
      </c>
      <c r="N102" s="13">
        <v>0</v>
      </c>
      <c r="O102" s="12">
        <v>0</v>
      </c>
      <c r="P102" s="12">
        <v>0</v>
      </c>
      <c r="Q102" s="13" t="s">
        <v>47</v>
      </c>
      <c r="R102" s="12">
        <f>0+571499.96</f>
        <v>571499.96</v>
      </c>
      <c r="S102" s="12">
        <v>226823.22</v>
      </c>
      <c r="T102" s="12">
        <f t="shared" si="9"/>
        <v>226823.22</v>
      </c>
      <c r="U102" s="12">
        <f t="shared" si="14"/>
        <v>226823.22</v>
      </c>
      <c r="V102" s="26" t="s">
        <v>42</v>
      </c>
      <c r="W102" s="9">
        <f t="shared" si="10"/>
        <v>-344676.74</v>
      </c>
      <c r="X102" s="9">
        <v>344676.74</v>
      </c>
      <c r="Y102" s="9">
        <f t="shared" si="11"/>
        <v>0</v>
      </c>
      <c r="Z102" s="8" t="str">
        <f t="shared" si="12"/>
        <v>and</v>
      </c>
    </row>
    <row r="103" spans="1:116" ht="42.9">
      <c r="A103" s="29" t="s">
        <v>368</v>
      </c>
      <c r="B103" s="29" t="s">
        <v>372</v>
      </c>
      <c r="C103" s="25">
        <v>0</v>
      </c>
      <c r="D103" s="12">
        <v>0</v>
      </c>
      <c r="E103" s="12">
        <v>0</v>
      </c>
      <c r="F103" s="12">
        <v>0</v>
      </c>
      <c r="G103" s="29" t="s">
        <v>173</v>
      </c>
      <c r="H103" s="25" t="s">
        <v>336</v>
      </c>
      <c r="I103" s="13" t="s">
        <v>371</v>
      </c>
      <c r="J103" s="11">
        <v>44928</v>
      </c>
      <c r="K103" s="13">
        <v>1125</v>
      </c>
      <c r="L103" s="30">
        <v>23425634.329999998</v>
      </c>
      <c r="M103" s="11">
        <f t="shared" ref="M103" si="17">J103+K103+N103</f>
        <v>46053</v>
      </c>
      <c r="N103" s="13">
        <v>0</v>
      </c>
      <c r="O103" s="12">
        <v>0</v>
      </c>
      <c r="P103" s="12">
        <v>0</v>
      </c>
      <c r="Q103" s="13" t="s">
        <v>47</v>
      </c>
      <c r="R103" s="12">
        <f>0+842530.32</f>
        <v>842530.32</v>
      </c>
      <c r="S103" s="12">
        <v>198441.55</v>
      </c>
      <c r="T103" s="12">
        <f t="shared" si="9"/>
        <v>198441.55</v>
      </c>
      <c r="U103" s="12">
        <f t="shared" si="14"/>
        <v>198441.55</v>
      </c>
      <c r="V103" s="26" t="s">
        <v>42</v>
      </c>
      <c r="W103" s="9">
        <f t="shared" si="10"/>
        <v>-644088.77</v>
      </c>
      <c r="X103" s="9">
        <v>644088.77</v>
      </c>
      <c r="Y103" s="9">
        <f t="shared" si="11"/>
        <v>0</v>
      </c>
      <c r="Z103" s="8" t="str">
        <f t="shared" si="12"/>
        <v>and</v>
      </c>
    </row>
    <row r="104" spans="1:116" ht="42.9">
      <c r="A104" s="29" t="s">
        <v>368</v>
      </c>
      <c r="B104" s="29" t="s">
        <v>374</v>
      </c>
      <c r="C104" s="25">
        <v>0</v>
      </c>
      <c r="D104" s="12">
        <v>0</v>
      </c>
      <c r="E104" s="12">
        <v>0</v>
      </c>
      <c r="F104" s="12">
        <v>0</v>
      </c>
      <c r="G104" s="29" t="s">
        <v>154</v>
      </c>
      <c r="H104" s="29" t="s">
        <v>155</v>
      </c>
      <c r="I104" s="13" t="s">
        <v>373</v>
      </c>
      <c r="J104" s="11">
        <v>44952</v>
      </c>
      <c r="K104" s="13">
        <v>1125</v>
      </c>
      <c r="L104" s="30">
        <v>20802547.25</v>
      </c>
      <c r="M104" s="11">
        <f t="shared" si="16"/>
        <v>46077</v>
      </c>
      <c r="N104" s="13">
        <v>0</v>
      </c>
      <c r="O104" s="12">
        <v>0</v>
      </c>
      <c r="P104" s="12">
        <v>0</v>
      </c>
      <c r="Q104" s="13" t="s">
        <v>47</v>
      </c>
      <c r="R104" s="12">
        <f>0+599639.1</f>
        <v>599639.1</v>
      </c>
      <c r="S104" s="12">
        <v>394094.75</v>
      </c>
      <c r="T104" s="12">
        <f t="shared" si="9"/>
        <v>394094.75</v>
      </c>
      <c r="U104" s="12">
        <f t="shared" si="14"/>
        <v>394094.75</v>
      </c>
      <c r="V104" s="26" t="s">
        <v>42</v>
      </c>
      <c r="W104" s="9">
        <f t="shared" si="10"/>
        <v>-205544.34999999998</v>
      </c>
      <c r="X104" s="9">
        <v>205544.35</v>
      </c>
      <c r="Y104" s="9">
        <f t="shared" si="11"/>
        <v>0</v>
      </c>
      <c r="Z104" s="8" t="str">
        <f t="shared" si="12"/>
        <v>and</v>
      </c>
    </row>
    <row r="105" spans="1:116" ht="21.45">
      <c r="A105" s="29" t="s">
        <v>377</v>
      </c>
      <c r="B105" s="29" t="s">
        <v>378</v>
      </c>
      <c r="C105" s="25" t="s">
        <v>438</v>
      </c>
      <c r="D105" s="12" t="s">
        <v>439</v>
      </c>
      <c r="E105" s="12">
        <v>0</v>
      </c>
      <c r="F105" s="12">
        <v>0</v>
      </c>
      <c r="G105" s="29" t="s">
        <v>305</v>
      </c>
      <c r="H105" s="29" t="s">
        <v>306</v>
      </c>
      <c r="I105" s="13" t="s">
        <v>376</v>
      </c>
      <c r="J105" s="11">
        <v>44998</v>
      </c>
      <c r="K105" s="13">
        <v>150</v>
      </c>
      <c r="L105" s="30">
        <v>1402393.67</v>
      </c>
      <c r="M105" s="11">
        <v>45148</v>
      </c>
      <c r="N105" s="13">
        <v>0</v>
      </c>
      <c r="O105" s="12"/>
      <c r="P105" s="12"/>
      <c r="Q105" s="13" t="s">
        <v>41</v>
      </c>
      <c r="R105" s="31"/>
      <c r="S105" s="12"/>
      <c r="T105" s="12">
        <f t="shared" si="9"/>
        <v>0</v>
      </c>
      <c r="U105" s="12">
        <f t="shared" ref="U105:U117" si="18">S105</f>
        <v>0</v>
      </c>
      <c r="V105" s="26" t="s">
        <v>136</v>
      </c>
      <c r="W105" s="9">
        <f t="shared" si="10"/>
        <v>0</v>
      </c>
      <c r="X105" s="9"/>
      <c r="Y105" s="9">
        <f t="shared" si="11"/>
        <v>0</v>
      </c>
      <c r="Z105" s="8" t="str">
        <f t="shared" si="12"/>
        <v>and</v>
      </c>
    </row>
    <row r="106" spans="1:116" ht="21.45">
      <c r="A106" s="25" t="s">
        <v>383</v>
      </c>
      <c r="B106" s="29" t="s">
        <v>380</v>
      </c>
      <c r="C106" s="25">
        <v>0</v>
      </c>
      <c r="D106" s="12">
        <v>0</v>
      </c>
      <c r="E106" s="12">
        <v>0</v>
      </c>
      <c r="F106" s="12">
        <v>0</v>
      </c>
      <c r="G106" s="29" t="s">
        <v>382</v>
      </c>
      <c r="H106" s="29" t="s">
        <v>381</v>
      </c>
      <c r="I106" s="13" t="s">
        <v>379</v>
      </c>
      <c r="J106" s="11">
        <v>44988</v>
      </c>
      <c r="K106" s="13">
        <v>365</v>
      </c>
      <c r="L106" s="30">
        <v>2920997.88</v>
      </c>
      <c r="M106" s="11">
        <f t="shared" si="15"/>
        <v>45353</v>
      </c>
      <c r="N106" s="13">
        <v>0</v>
      </c>
      <c r="O106" s="12"/>
      <c r="P106" s="12"/>
      <c r="Q106" s="13" t="s">
        <v>47</v>
      </c>
      <c r="R106" s="31"/>
      <c r="S106" s="12"/>
      <c r="T106" s="12">
        <f t="shared" si="9"/>
        <v>0</v>
      </c>
      <c r="U106" s="12">
        <f t="shared" si="18"/>
        <v>0</v>
      </c>
      <c r="V106" s="26" t="s">
        <v>136</v>
      </c>
      <c r="W106" s="9">
        <f t="shared" si="10"/>
        <v>0</v>
      </c>
      <c r="X106" s="9"/>
      <c r="Y106" s="9">
        <f t="shared" si="11"/>
        <v>0</v>
      </c>
      <c r="Z106" s="8" t="str">
        <f t="shared" si="12"/>
        <v>and</v>
      </c>
    </row>
    <row r="107" spans="1:116" ht="42.9">
      <c r="A107" s="29" t="s">
        <v>385</v>
      </c>
      <c r="B107" s="29" t="s">
        <v>386</v>
      </c>
      <c r="C107" s="25" t="s">
        <v>438</v>
      </c>
      <c r="D107" s="12" t="s">
        <v>439</v>
      </c>
      <c r="E107" s="12">
        <v>0</v>
      </c>
      <c r="F107" s="12">
        <v>0</v>
      </c>
      <c r="G107" s="29" t="s">
        <v>387</v>
      </c>
      <c r="H107" s="29" t="s">
        <v>388</v>
      </c>
      <c r="I107" s="13" t="s">
        <v>384</v>
      </c>
      <c r="J107" s="11">
        <v>44967</v>
      </c>
      <c r="K107" s="13">
        <v>300</v>
      </c>
      <c r="L107" s="30">
        <v>5670580.4299999997</v>
      </c>
      <c r="M107" s="11">
        <f t="shared" si="15"/>
        <v>45267</v>
      </c>
      <c r="N107" s="13">
        <v>0</v>
      </c>
      <c r="O107" s="12"/>
      <c r="P107" s="12"/>
      <c r="Q107" s="13" t="s">
        <v>41</v>
      </c>
      <c r="R107" s="31"/>
      <c r="S107" s="12"/>
      <c r="T107" s="12">
        <f t="shared" si="9"/>
        <v>0</v>
      </c>
      <c r="U107" s="12">
        <f t="shared" si="18"/>
        <v>0</v>
      </c>
      <c r="V107" s="26" t="s">
        <v>42</v>
      </c>
      <c r="W107" s="9">
        <f t="shared" si="10"/>
        <v>0</v>
      </c>
      <c r="X107" s="9"/>
      <c r="Y107" s="9">
        <f t="shared" si="11"/>
        <v>0</v>
      </c>
      <c r="Z107" s="8" t="str">
        <f t="shared" si="12"/>
        <v>and</v>
      </c>
    </row>
    <row r="108" spans="1:116" ht="42.9">
      <c r="A108" s="29" t="s">
        <v>385</v>
      </c>
      <c r="B108" s="29" t="s">
        <v>390</v>
      </c>
      <c r="C108" s="25" t="s">
        <v>438</v>
      </c>
      <c r="D108" s="12" t="s">
        <v>439</v>
      </c>
      <c r="E108" s="12">
        <v>0</v>
      </c>
      <c r="F108" s="12">
        <v>0</v>
      </c>
      <c r="G108" s="29" t="s">
        <v>387</v>
      </c>
      <c r="H108" s="29" t="s">
        <v>388</v>
      </c>
      <c r="I108" s="13" t="s">
        <v>389</v>
      </c>
      <c r="J108" s="11">
        <v>44967</v>
      </c>
      <c r="K108" s="13">
        <v>150</v>
      </c>
      <c r="L108" s="30">
        <v>891552.31</v>
      </c>
      <c r="M108" s="11">
        <f t="shared" si="15"/>
        <v>45117</v>
      </c>
      <c r="N108" s="13">
        <v>0</v>
      </c>
      <c r="O108" s="12"/>
      <c r="P108" s="12"/>
      <c r="Q108" s="13" t="s">
        <v>41</v>
      </c>
      <c r="R108" s="31"/>
      <c r="S108" s="12"/>
      <c r="T108" s="12">
        <f t="shared" si="9"/>
        <v>0</v>
      </c>
      <c r="U108" s="12">
        <f t="shared" si="18"/>
        <v>0</v>
      </c>
      <c r="V108" s="26" t="s">
        <v>42</v>
      </c>
      <c r="W108" s="9">
        <f t="shared" si="10"/>
        <v>0</v>
      </c>
      <c r="X108" s="9"/>
      <c r="Y108" s="9">
        <f t="shared" si="11"/>
        <v>0</v>
      </c>
      <c r="Z108" s="8" t="str">
        <f t="shared" si="12"/>
        <v>and</v>
      </c>
    </row>
    <row r="109" spans="1:116" ht="32.15">
      <c r="A109" s="29" t="s">
        <v>392</v>
      </c>
      <c r="B109" s="29" t="s">
        <v>393</v>
      </c>
      <c r="C109" s="25" t="s">
        <v>438</v>
      </c>
      <c r="D109" s="12" t="s">
        <v>439</v>
      </c>
      <c r="E109" s="12">
        <v>0</v>
      </c>
      <c r="F109" s="12">
        <v>0</v>
      </c>
      <c r="G109" s="29" t="s">
        <v>394</v>
      </c>
      <c r="H109" s="29" t="s">
        <v>395</v>
      </c>
      <c r="I109" s="13" t="s">
        <v>391</v>
      </c>
      <c r="J109" s="11">
        <v>44966</v>
      </c>
      <c r="K109" s="13">
        <v>210</v>
      </c>
      <c r="L109" s="30">
        <v>7809500.1100000003</v>
      </c>
      <c r="M109" s="11">
        <f t="shared" ref="M109" si="19">J109+K109+N109</f>
        <v>45176</v>
      </c>
      <c r="N109" s="13">
        <v>0</v>
      </c>
      <c r="O109" s="12"/>
      <c r="P109" s="12"/>
      <c r="Q109" s="13" t="s">
        <v>41</v>
      </c>
      <c r="R109" s="31"/>
      <c r="S109" s="12"/>
      <c r="T109" s="12">
        <f t="shared" si="9"/>
        <v>0</v>
      </c>
      <c r="U109" s="12">
        <f t="shared" si="18"/>
        <v>0</v>
      </c>
      <c r="V109" s="26" t="s">
        <v>42</v>
      </c>
      <c r="W109" s="9">
        <f t="shared" si="10"/>
        <v>0</v>
      </c>
      <c r="X109" s="9"/>
      <c r="Y109" s="9">
        <f t="shared" si="11"/>
        <v>0</v>
      </c>
      <c r="Z109" s="8" t="str">
        <f t="shared" si="12"/>
        <v>and</v>
      </c>
    </row>
    <row r="110" spans="1:116" ht="32.15">
      <c r="A110" s="25" t="s">
        <v>397</v>
      </c>
      <c r="B110" s="29" t="s">
        <v>398</v>
      </c>
      <c r="C110" s="25">
        <v>0</v>
      </c>
      <c r="D110" s="12">
        <v>0</v>
      </c>
      <c r="E110" s="12">
        <v>0</v>
      </c>
      <c r="F110" s="12">
        <v>0</v>
      </c>
      <c r="G110" s="29" t="s">
        <v>246</v>
      </c>
      <c r="H110" s="29" t="s">
        <v>247</v>
      </c>
      <c r="I110" s="13" t="s">
        <v>396</v>
      </c>
      <c r="J110" s="11">
        <v>44971</v>
      </c>
      <c r="K110" s="13">
        <v>150</v>
      </c>
      <c r="L110" s="30">
        <v>289997.93</v>
      </c>
      <c r="M110" s="11">
        <f t="shared" ref="M110:M115" si="20">J110+K110+N110</f>
        <v>45121</v>
      </c>
      <c r="N110" s="13">
        <v>0</v>
      </c>
      <c r="O110" s="12"/>
      <c r="P110" s="12"/>
      <c r="Q110" s="13" t="s">
        <v>41</v>
      </c>
      <c r="R110" s="31"/>
      <c r="S110" s="12"/>
      <c r="T110" s="12">
        <f t="shared" si="9"/>
        <v>0</v>
      </c>
      <c r="U110" s="12">
        <f t="shared" si="18"/>
        <v>0</v>
      </c>
      <c r="V110" s="26" t="s">
        <v>42</v>
      </c>
      <c r="W110" s="9">
        <f t="shared" si="10"/>
        <v>0</v>
      </c>
      <c r="X110" s="9"/>
      <c r="Y110" s="9">
        <f t="shared" si="11"/>
        <v>0</v>
      </c>
      <c r="Z110" s="8" t="str">
        <f t="shared" si="12"/>
        <v>and</v>
      </c>
    </row>
    <row r="111" spans="1:116" ht="53.6">
      <c r="A111" s="29" t="s">
        <v>404</v>
      </c>
      <c r="B111" s="29" t="s">
        <v>400</v>
      </c>
      <c r="C111" s="25">
        <v>0</v>
      </c>
      <c r="D111" s="12">
        <v>0</v>
      </c>
      <c r="E111" s="12">
        <v>0</v>
      </c>
      <c r="F111" s="12">
        <v>0</v>
      </c>
      <c r="G111" s="29" t="s">
        <v>401</v>
      </c>
      <c r="H111" s="29" t="s">
        <v>402</v>
      </c>
      <c r="I111" s="13" t="s">
        <v>399</v>
      </c>
      <c r="J111" s="11">
        <v>44967</v>
      </c>
      <c r="K111" s="13">
        <v>395</v>
      </c>
      <c r="L111" s="30">
        <v>899176.09</v>
      </c>
      <c r="M111" s="11">
        <f t="shared" si="20"/>
        <v>45362</v>
      </c>
      <c r="N111" s="13">
        <v>0</v>
      </c>
      <c r="O111" s="12"/>
      <c r="P111" s="12"/>
      <c r="Q111" s="13" t="s">
        <v>41</v>
      </c>
      <c r="R111" s="31"/>
      <c r="S111" s="12">
        <v>0</v>
      </c>
      <c r="T111" s="12">
        <f t="shared" si="9"/>
        <v>0</v>
      </c>
      <c r="U111" s="12">
        <f t="shared" si="18"/>
        <v>0</v>
      </c>
      <c r="V111" s="26" t="s">
        <v>42</v>
      </c>
      <c r="W111" s="9">
        <f t="shared" si="10"/>
        <v>0</v>
      </c>
      <c r="X111" s="9"/>
      <c r="Y111" s="9">
        <f t="shared" si="11"/>
        <v>0</v>
      </c>
      <c r="Z111" s="8" t="str">
        <f t="shared" si="12"/>
        <v>and</v>
      </c>
    </row>
    <row r="112" spans="1:116" ht="42.9">
      <c r="A112" s="25" t="s">
        <v>405</v>
      </c>
      <c r="B112" s="29" t="s">
        <v>406</v>
      </c>
      <c r="C112" s="25">
        <v>0</v>
      </c>
      <c r="D112" s="12">
        <v>0</v>
      </c>
      <c r="E112" s="12">
        <v>0</v>
      </c>
      <c r="F112" s="12">
        <v>0</v>
      </c>
      <c r="G112" s="29" t="s">
        <v>87</v>
      </c>
      <c r="H112" s="29" t="s">
        <v>88</v>
      </c>
      <c r="I112" s="13" t="s">
        <v>403</v>
      </c>
      <c r="J112" s="11">
        <v>44973</v>
      </c>
      <c r="K112" s="13">
        <v>730</v>
      </c>
      <c r="L112" s="30">
        <v>4873574.38</v>
      </c>
      <c r="M112" s="11">
        <f t="shared" si="20"/>
        <v>45703</v>
      </c>
      <c r="N112" s="13">
        <v>0</v>
      </c>
      <c r="O112" s="12"/>
      <c r="P112" s="12"/>
      <c r="Q112" s="13" t="s">
        <v>47</v>
      </c>
      <c r="R112" s="31"/>
      <c r="S112" s="12"/>
      <c r="T112" s="12">
        <f t="shared" si="9"/>
        <v>0</v>
      </c>
      <c r="U112" s="12">
        <f t="shared" si="18"/>
        <v>0</v>
      </c>
      <c r="V112" s="26" t="s">
        <v>42</v>
      </c>
      <c r="W112" s="9">
        <f t="shared" si="10"/>
        <v>0</v>
      </c>
      <c r="X112" s="9"/>
      <c r="Y112" s="9">
        <f t="shared" si="11"/>
        <v>0</v>
      </c>
      <c r="Z112" s="8" t="str">
        <f t="shared" si="12"/>
        <v>and</v>
      </c>
    </row>
    <row r="113" spans="1:26" ht="32.15">
      <c r="A113" s="29" t="s">
        <v>409</v>
      </c>
      <c r="B113" s="29" t="s">
        <v>410</v>
      </c>
      <c r="C113" s="25" t="s">
        <v>438</v>
      </c>
      <c r="D113" s="12" t="s">
        <v>439</v>
      </c>
      <c r="E113" s="12">
        <v>0</v>
      </c>
      <c r="F113" s="12">
        <v>0</v>
      </c>
      <c r="G113" s="29" t="s">
        <v>411</v>
      </c>
      <c r="H113" s="29" t="s">
        <v>412</v>
      </c>
      <c r="I113" s="13" t="s">
        <v>407</v>
      </c>
      <c r="J113" s="11">
        <v>45013</v>
      </c>
      <c r="K113" s="13">
        <v>210</v>
      </c>
      <c r="L113" s="30">
        <v>6629049.9699999997</v>
      </c>
      <c r="M113" s="11">
        <f t="shared" si="20"/>
        <v>45223</v>
      </c>
      <c r="N113" s="13">
        <v>0</v>
      </c>
      <c r="O113" s="12"/>
      <c r="P113" s="12"/>
      <c r="Q113" s="13" t="s">
        <v>41</v>
      </c>
      <c r="R113" s="31"/>
      <c r="S113" s="12"/>
      <c r="T113" s="12">
        <f t="shared" si="9"/>
        <v>0</v>
      </c>
      <c r="U113" s="12">
        <f t="shared" si="18"/>
        <v>0</v>
      </c>
      <c r="V113" s="26" t="s">
        <v>42</v>
      </c>
      <c r="W113" s="9">
        <f t="shared" si="10"/>
        <v>0</v>
      </c>
      <c r="X113" s="9"/>
      <c r="Y113" s="9">
        <f t="shared" si="11"/>
        <v>0</v>
      </c>
      <c r="Z113" s="8" t="str">
        <f t="shared" si="12"/>
        <v>and</v>
      </c>
    </row>
    <row r="114" spans="1:26" ht="32.15">
      <c r="A114" s="29" t="s">
        <v>409</v>
      </c>
      <c r="B114" s="29" t="s">
        <v>414</v>
      </c>
      <c r="C114" s="25" t="s">
        <v>438</v>
      </c>
      <c r="D114" s="12" t="s">
        <v>439</v>
      </c>
      <c r="E114" s="12">
        <v>0</v>
      </c>
      <c r="F114" s="12">
        <v>0</v>
      </c>
      <c r="G114" s="29" t="s">
        <v>387</v>
      </c>
      <c r="H114" s="29" t="s">
        <v>388</v>
      </c>
      <c r="I114" s="13" t="s">
        <v>408</v>
      </c>
      <c r="J114" s="11"/>
      <c r="K114" s="13">
        <v>210</v>
      </c>
      <c r="L114" s="30">
        <v>8475019.2100000009</v>
      </c>
      <c r="M114" s="11"/>
      <c r="N114" s="13">
        <v>0</v>
      </c>
      <c r="O114" s="12"/>
      <c r="P114" s="12"/>
      <c r="Q114" s="13" t="s">
        <v>41</v>
      </c>
      <c r="R114" s="31"/>
      <c r="S114" s="12"/>
      <c r="T114" s="12">
        <f t="shared" si="9"/>
        <v>0</v>
      </c>
      <c r="U114" s="12">
        <f t="shared" si="18"/>
        <v>0</v>
      </c>
      <c r="V114" s="26" t="s">
        <v>415</v>
      </c>
      <c r="W114" s="9">
        <f t="shared" si="10"/>
        <v>0</v>
      </c>
      <c r="X114" s="9"/>
      <c r="Y114" s="9">
        <f t="shared" si="11"/>
        <v>0</v>
      </c>
      <c r="Z114" s="8" t="str">
        <f t="shared" si="12"/>
        <v>enc</v>
      </c>
    </row>
    <row r="115" spans="1:26" ht="32.15">
      <c r="A115" s="29" t="s">
        <v>409</v>
      </c>
      <c r="B115" s="29" t="s">
        <v>416</v>
      </c>
      <c r="C115" s="25">
        <v>0</v>
      </c>
      <c r="D115" s="12">
        <v>0</v>
      </c>
      <c r="E115" s="12">
        <v>0</v>
      </c>
      <c r="F115" s="12">
        <v>0</v>
      </c>
      <c r="G115" s="29" t="s">
        <v>81</v>
      </c>
      <c r="H115" s="29" t="s">
        <v>82</v>
      </c>
      <c r="I115" s="13" t="s">
        <v>413</v>
      </c>
      <c r="J115" s="11">
        <v>45012</v>
      </c>
      <c r="K115" s="13">
        <v>210</v>
      </c>
      <c r="L115" s="30">
        <v>9520808.8000000007</v>
      </c>
      <c r="M115" s="11">
        <f t="shared" si="20"/>
        <v>45222</v>
      </c>
      <c r="N115" s="13">
        <v>0</v>
      </c>
      <c r="O115" s="12"/>
      <c r="P115" s="12"/>
      <c r="Q115" s="13" t="s">
        <v>47</v>
      </c>
      <c r="R115" s="31"/>
      <c r="S115" s="12"/>
      <c r="T115" s="12">
        <f t="shared" si="9"/>
        <v>0</v>
      </c>
      <c r="U115" s="12">
        <f t="shared" si="18"/>
        <v>0</v>
      </c>
      <c r="V115" s="26" t="s">
        <v>42</v>
      </c>
      <c r="W115" s="9">
        <f t="shared" si="10"/>
        <v>0</v>
      </c>
      <c r="X115" s="9"/>
      <c r="Y115" s="9">
        <f t="shared" si="11"/>
        <v>0</v>
      </c>
      <c r="Z115" s="8" t="str">
        <f t="shared" si="12"/>
        <v>and</v>
      </c>
    </row>
    <row r="116" spans="1:26" ht="32.15">
      <c r="A116" s="29" t="s">
        <v>418</v>
      </c>
      <c r="B116" s="29" t="s">
        <v>419</v>
      </c>
      <c r="C116" s="25">
        <v>0</v>
      </c>
      <c r="D116" s="12">
        <v>0</v>
      </c>
      <c r="E116" s="12">
        <v>0</v>
      </c>
      <c r="F116" s="12">
        <v>0</v>
      </c>
      <c r="G116" s="29" t="s">
        <v>61</v>
      </c>
      <c r="H116" s="29" t="s">
        <v>62</v>
      </c>
      <c r="I116" s="13" t="s">
        <v>417</v>
      </c>
      <c r="J116" s="11">
        <v>45012</v>
      </c>
      <c r="K116" s="13">
        <v>790</v>
      </c>
      <c r="L116" s="30">
        <v>7723888.8499999996</v>
      </c>
      <c r="M116" s="11">
        <f t="shared" ref="M116:M118" si="21">J116+K116+N116</f>
        <v>45802</v>
      </c>
      <c r="N116" s="13">
        <v>0</v>
      </c>
      <c r="O116" s="12"/>
      <c r="P116" s="12"/>
      <c r="Q116" s="13" t="s">
        <v>47</v>
      </c>
      <c r="R116" s="31"/>
      <c r="S116" s="12">
        <v>0</v>
      </c>
      <c r="T116" s="12">
        <f t="shared" si="9"/>
        <v>0</v>
      </c>
      <c r="U116" s="12">
        <f t="shared" si="18"/>
        <v>0</v>
      </c>
      <c r="V116" s="26" t="s">
        <v>136</v>
      </c>
      <c r="W116" s="9">
        <f t="shared" si="10"/>
        <v>0</v>
      </c>
      <c r="X116" s="9"/>
      <c r="Y116" s="9">
        <f t="shared" si="11"/>
        <v>0</v>
      </c>
      <c r="Z116" s="8" t="str">
        <f t="shared" si="12"/>
        <v>and</v>
      </c>
    </row>
    <row r="117" spans="1:26" ht="32.15">
      <c r="A117" s="29" t="s">
        <v>421</v>
      </c>
      <c r="B117" s="29" t="s">
        <v>434</v>
      </c>
      <c r="C117" s="25" t="s">
        <v>438</v>
      </c>
      <c r="D117" s="12" t="s">
        <v>439</v>
      </c>
      <c r="E117" s="12">
        <v>0</v>
      </c>
      <c r="F117" s="12">
        <v>0</v>
      </c>
      <c r="G117" s="29" t="s">
        <v>305</v>
      </c>
      <c r="H117" s="29" t="s">
        <v>306</v>
      </c>
      <c r="I117" s="13" t="s">
        <v>420</v>
      </c>
      <c r="J117" s="11"/>
      <c r="K117" s="13">
        <v>300</v>
      </c>
      <c r="L117" s="30">
        <v>2208415.6800000002</v>
      </c>
      <c r="M117" s="11"/>
      <c r="N117" s="13">
        <v>0</v>
      </c>
      <c r="O117" s="12"/>
      <c r="P117" s="12"/>
      <c r="Q117" s="13" t="s">
        <v>41</v>
      </c>
      <c r="R117" s="31"/>
      <c r="S117" s="12"/>
      <c r="T117" s="12">
        <f t="shared" si="9"/>
        <v>0</v>
      </c>
      <c r="U117" s="12">
        <f t="shared" si="18"/>
        <v>0</v>
      </c>
      <c r="V117" s="26" t="s">
        <v>415</v>
      </c>
      <c r="W117" s="9">
        <f t="shared" si="10"/>
        <v>0</v>
      </c>
      <c r="X117" s="9"/>
      <c r="Y117" s="9">
        <f t="shared" si="11"/>
        <v>0</v>
      </c>
      <c r="Z117" s="8" t="str">
        <f t="shared" si="12"/>
        <v>enc</v>
      </c>
    </row>
    <row r="118" spans="1:26" ht="32.15">
      <c r="A118" s="29" t="s">
        <v>436</v>
      </c>
      <c r="B118" s="29" t="s">
        <v>437</v>
      </c>
      <c r="C118" s="25">
        <v>0</v>
      </c>
      <c r="D118" s="12">
        <v>0</v>
      </c>
      <c r="E118" s="12">
        <v>0</v>
      </c>
      <c r="F118" s="12">
        <v>0</v>
      </c>
      <c r="G118" s="29" t="s">
        <v>189</v>
      </c>
      <c r="H118" s="29" t="s">
        <v>190</v>
      </c>
      <c r="I118" s="13" t="s">
        <v>435</v>
      </c>
      <c r="J118" s="11">
        <v>45013</v>
      </c>
      <c r="K118" s="13">
        <v>270</v>
      </c>
      <c r="L118" s="30">
        <v>16500029.24</v>
      </c>
      <c r="M118" s="11">
        <f t="shared" si="21"/>
        <v>45283</v>
      </c>
      <c r="N118" s="13">
        <v>0</v>
      </c>
      <c r="O118" s="12"/>
      <c r="P118" s="12"/>
      <c r="Q118" s="13" t="s">
        <v>47</v>
      </c>
      <c r="R118" s="31"/>
      <c r="S118" s="12"/>
      <c r="T118" s="12">
        <f t="shared" si="9"/>
        <v>0</v>
      </c>
      <c r="U118" s="12">
        <f>S118</f>
        <v>0</v>
      </c>
      <c r="V118" s="26" t="s">
        <v>136</v>
      </c>
      <c r="W118" s="9">
        <f t="shared" si="10"/>
        <v>0</v>
      </c>
      <c r="X118" s="9"/>
      <c r="Y118" s="9">
        <f t="shared" si="11"/>
        <v>0</v>
      </c>
      <c r="Z118" s="8" t="str">
        <f t="shared" si="12"/>
        <v>and</v>
      </c>
    </row>
  </sheetData>
  <autoFilter ref="A7:DL118"/>
  <sortState ref="A8:DL111">
    <sortCondition ref="I8:I111"/>
  </sortState>
  <mergeCells count="20">
    <mergeCell ref="F4:H4"/>
    <mergeCell ref="J4:O4"/>
    <mergeCell ref="Q4:V4"/>
    <mergeCell ref="A1:V1"/>
    <mergeCell ref="A2:F2"/>
    <mergeCell ref="G2:V2"/>
    <mergeCell ref="A3:F3"/>
    <mergeCell ref="G3:V3"/>
    <mergeCell ref="Q6:U6"/>
    <mergeCell ref="V6:V7"/>
    <mergeCell ref="A5:C5"/>
    <mergeCell ref="F5:H5"/>
    <mergeCell ref="J5:O5"/>
    <mergeCell ref="Q5:V5"/>
    <mergeCell ref="A6:A7"/>
    <mergeCell ref="B6:B7"/>
    <mergeCell ref="C6:F6"/>
    <mergeCell ref="G6:H6"/>
    <mergeCell ref="I6:M6"/>
    <mergeCell ref="N6:O6"/>
  </mergeCells>
  <pageMargins left="0.32" right="0.34" top="0.53" bottom="0.52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6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6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1º TRIMESTRE</vt:lpstr>
      <vt:lpstr>Plan2</vt:lpstr>
      <vt:lpstr>Plan3</vt:lpstr>
      <vt:lpstr>'1º TRIMESTRE'!Area_de_impressao</vt:lpstr>
      <vt:lpstr>'1º TRIMESTRE'!Titulos_de_impressao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monica.knecht</dc:creator>
  <cp:lastModifiedBy>monica.knecht</cp:lastModifiedBy>
  <cp:lastPrinted>2023-04-17T13:11:16Z</cp:lastPrinted>
  <dcterms:created xsi:type="dcterms:W3CDTF">2023-04-10T12:21:22Z</dcterms:created>
  <dcterms:modified xsi:type="dcterms:W3CDTF">2023-04-17T13:11:32Z</dcterms:modified>
</cp:coreProperties>
</file>